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tables/table2.xml" ContentType="application/vnd.openxmlformats-officedocument.spreadsheetml.table+xml"/>
  <Override PartName="/xl/drawings/drawing7.xml" ContentType="application/vnd.openxmlformats-officedocument.drawing+xml"/>
  <Override PartName="/xl/tables/table3.xml" ContentType="application/vnd.openxmlformats-officedocument.spreadsheetml.table+xml"/>
  <Override PartName="/xl/drawings/drawing8.xml" ContentType="application/vnd.openxmlformats-officedocument.drawing+xml"/>
  <Override PartName="/xl/tables/table4.xml" ContentType="application/vnd.openxmlformats-officedocument.spreadsheetml.table+xml"/>
  <Override PartName="/xl/drawings/drawing9.xml" ContentType="application/vnd.openxmlformats-officedocument.drawing+xml"/>
  <Override PartName="/xl/tables/table5.xml" ContentType="application/vnd.openxmlformats-officedocument.spreadsheetml.table+xml"/>
  <Override PartName="/xl/drawings/drawing10.xml" ContentType="application/vnd.openxmlformats-officedocument.drawing+xml"/>
  <Override PartName="/xl/tables/table6.xml" ContentType="application/vnd.openxmlformats-officedocument.spreadsheetml.table+xml"/>
  <Override PartName="/xl/drawings/drawing11.xml" ContentType="application/vnd.openxmlformats-officedocument.drawing+xml"/>
  <Override PartName="/xl/tables/table7.xml" ContentType="application/vnd.openxmlformats-officedocument.spreadsheetml.table+xml"/>
  <Override PartName="/xl/drawings/drawing12.xml" ContentType="application/vnd.openxmlformats-officedocument.drawing+xml"/>
  <Override PartName="/xl/tables/table8.xml" ContentType="application/vnd.openxmlformats-officedocument.spreadsheetml.table+xml"/>
  <Override PartName="/xl/drawings/drawing13.xml" ContentType="application/vnd.openxmlformats-officedocument.drawing+xml"/>
  <Override PartName="/xl/tables/table9.xml" ContentType="application/vnd.openxmlformats-officedocument.spreadsheetml.table+xml"/>
  <Override PartName="/xl/drawings/drawing14.xml" ContentType="application/vnd.openxmlformats-officedocument.drawing+xml"/>
  <Override PartName="/xl/tables/table10.xml" ContentType="application/vnd.openxmlformats-officedocument.spreadsheetml.table+xml"/>
  <Override PartName="/xl/drawings/drawing15.xml" ContentType="application/vnd.openxmlformats-officedocument.drawing+xml"/>
  <Override PartName="/xl/tables/table11.xml" ContentType="application/vnd.openxmlformats-officedocument.spreadsheetml.tab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tables/table12.xml" ContentType="application/vnd.openxmlformats-officedocument.spreadsheetml.tabl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tables/table13.xml" ContentType="application/vnd.openxmlformats-officedocument.spreadsheetml.table+xml"/>
  <Override PartName="/xl/drawings/drawing22.xml" ContentType="application/vnd.openxmlformats-officedocument.drawing+xml"/>
  <Override PartName="/xl/tables/table14.xml" ContentType="application/vnd.openxmlformats-officedocument.spreadsheetml.table+xml"/>
  <Override PartName="/xl/drawings/drawing23.xml" ContentType="application/vnd.openxmlformats-officedocument.drawing+xml"/>
  <Override PartName="/xl/tables/table15.xml" ContentType="application/vnd.openxmlformats-officedocument.spreadsheetml.table+xml"/>
  <Override PartName="/xl/drawings/drawing24.xml" ContentType="application/vnd.openxmlformats-officedocument.drawing+xml"/>
  <Override PartName="/xl/tables/table16.xml" ContentType="application/vnd.openxmlformats-officedocument.spreadsheetml.table+xml"/>
  <Override PartName="/xl/drawings/drawing25.xml" ContentType="application/vnd.openxmlformats-officedocument.drawing+xml"/>
  <Override PartName="/xl/tables/table17.xml" ContentType="application/vnd.openxmlformats-officedocument.spreadsheetml.table+xml"/>
  <Override PartName="/xl/drawings/drawing26.xml" ContentType="application/vnd.openxmlformats-officedocument.drawing+xml"/>
  <Override PartName="/xl/tables/table18.xml" ContentType="application/vnd.openxmlformats-officedocument.spreadsheetml.table+xml"/>
  <Override PartName="/xl/drawings/drawing27.xml" ContentType="application/vnd.openxmlformats-officedocument.drawing+xml"/>
  <Override PartName="/xl/drawings/drawing28.xml" ContentType="application/vnd.openxmlformats-officedocument.drawing+xml"/>
  <Override PartName="/xl/tables/table19.xml" ContentType="application/vnd.openxmlformats-officedocument.spreadsheetml.table+xml"/>
  <Override PartName="/xl/drawings/drawing29.xml" ContentType="application/vnd.openxmlformats-officedocument.drawing+xml"/>
  <Override PartName="/xl/drawings/drawing30.xml" ContentType="application/vnd.openxmlformats-officedocument.drawing+xml"/>
  <Override PartName="/xl/tables/table20.xml" ContentType="application/vnd.openxmlformats-officedocument.spreadsheetml.table+xml"/>
  <Override PartName="/xl/drawings/drawing31.xml" ContentType="application/vnd.openxmlformats-officedocument.drawing+xml"/>
  <Override PartName="/xl/ctrlProps/ctrlProp15.xml" ContentType="application/vnd.ms-excel.controlproperties+xml"/>
  <Override PartName="/xl/drawings/drawing32.xml" ContentType="application/vnd.openxmlformats-officedocument.drawing+xml"/>
  <Override PartName="/xl/ctrlProps/ctrlProp16.xml" ContentType="application/vnd.ms-excel.controlproperties+xml"/>
  <Override PartName="/xl/tables/table2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codeName="{5022B3EB-BCE5-7840-4BB8-8062D341818C}"/>
  <workbookPr codeName="ThisWorkbook" hidePivotFieldList="1" defaultThemeVersion="166925"/>
  <mc:AlternateContent xmlns:mc="http://schemas.openxmlformats.org/markup-compatibility/2006">
    <mc:Choice Requires="x15">
      <x15ac:absPath xmlns:x15ac="http://schemas.microsoft.com/office/spreadsheetml/2010/11/ac" url="C:\Users\erichsek\Desktop\"/>
    </mc:Choice>
  </mc:AlternateContent>
  <xr:revisionPtr revIDLastSave="0" documentId="8_{2C8636DF-1F90-4C25-B73D-2827C0A4C141}" xr6:coauthVersionLast="47" xr6:coauthVersionMax="47" xr10:uidLastSave="{00000000-0000-0000-0000-000000000000}"/>
  <workbookProtection workbookAlgorithmName="SHA-512" workbookHashValue="+BAXvTSegoUy1htuTBme9o19U10usSY7Y62hwV85hppzxkXBh5mlZGwSh5D8d6ofdT0OubczoiPEdKXm/ugMlg==" workbookSaltValue="9NVqfw+DVr10QwzmxmGs/Q==" workbookSpinCount="100000" lockStructure="1"/>
  <bookViews>
    <workbookView xWindow="-120" yWindow="-120" windowWidth="29040" windowHeight="15840" firstSheet="2" activeTab="2" xr2:uid="{197638B4-797A-4478-BE75-E73324A0DFB3}"/>
  </bookViews>
  <sheets>
    <sheet name="General Instructions" sheetId="3" r:id="rId1"/>
    <sheet name="Plan Selection1" sheetId="1" state="hidden" r:id="rId2"/>
    <sheet name="Respondent Information" sheetId="10" r:id="rId3"/>
    <sheet name="Scoring-Value Based Purchasing" sheetId="30" r:id="rId4"/>
    <sheet name="Value Based Purchasing" sheetId="20" r:id="rId5"/>
    <sheet name="Scoring-Expanded Benefits" sheetId="42" r:id="rId6"/>
    <sheet name="Expanded Benefits" sheetId="43" r:id="rId7"/>
    <sheet name="Scoring-Birth Outcomes" sheetId="24" r:id="rId8"/>
    <sheet name="Birth Outcomes" sheetId="14" r:id="rId9"/>
    <sheet name="Scoring-Chr Disease Management" sheetId="44" r:id="rId10"/>
    <sheet name="Chr Disease Management" sheetId="45" r:id="rId11"/>
    <sheet name="Scoring-HEDIS" sheetId="29" r:id="rId12"/>
    <sheet name="HEDIS" sheetId="19" r:id="rId13"/>
    <sheet name="Scoring-Commitment to Quality" sheetId="47" r:id="rId14"/>
    <sheet name="Commitment to Quality" sheetId="48" r:id="rId15"/>
    <sheet name="Scoring-PersonCentered Care" sheetId="51" r:id="rId16"/>
    <sheet name="Person-Centered Care" sheetId="52" r:id="rId17"/>
    <sheet name="Scoring-Behav Health-Prim Care" sheetId="65" r:id="rId18"/>
    <sheet name="Behav Health-Prim Care Integ" sheetId="66" r:id="rId19"/>
    <sheet name="Scoring-Telemedicine" sheetId="49" r:id="rId20"/>
    <sheet name="Telemedicine" sheetId="50" r:id="rId21"/>
    <sheet name="Scoring-EBP Child Intense Behav" sheetId="68" r:id="rId22"/>
    <sheet name="EBP Child Intense Behav" sheetId="69" r:id="rId23"/>
    <sheet name="Scoring-Essential Providers" sheetId="36" r:id="rId24"/>
    <sheet name="Essential Providers" sheetId="35" r:id="rId25"/>
    <sheet name="Scoring-Community Partnerships" sheetId="26" r:id="rId26"/>
    <sheet name="Community Partnerships" sheetId="70" r:id="rId27"/>
    <sheet name="Scoring-Exp. Benefits-Pathways" sheetId="58" r:id="rId28"/>
    <sheet name="Exp. Benefits-Pathways" sheetId="59" r:id="rId29"/>
    <sheet name="Scoring-Managed Care Exp" sheetId="32" r:id="rId30"/>
    <sheet name="Managed Care Experience" sheetId="31" r:id="rId31"/>
    <sheet name="Scoring-Compliance" sheetId="53" r:id="rId32"/>
    <sheet name="Compliance" sheetId="54" r:id="rId33"/>
    <sheet name="Compliance-Terminations" sheetId="67" r:id="rId34"/>
    <sheet name="Scoring-Florida Presence" sheetId="34" r:id="rId35"/>
    <sheet name="Florida Presence" sheetId="33" r:id="rId36"/>
    <sheet name="Scoring-Accreditation" sheetId="25" r:id="rId37"/>
    <sheet name="Accreditation" sheetId="15" r:id="rId38"/>
    <sheet name="Scoring-Grievances" sheetId="21" r:id="rId39"/>
    <sheet name="Grievances" sheetId="2" r:id="rId40"/>
    <sheet name="Scoring-Processing and Payment" sheetId="27" r:id="rId41"/>
    <sheet name="Processing and Payment" sheetId="57" r:id="rId42"/>
    <sheet name="Scoring-Provider Engagement" sheetId="28" r:id="rId43"/>
    <sheet name="Provider Engagement" sheetId="18" r:id="rId44"/>
    <sheet name="Scoring-NET" sheetId="39" r:id="rId45"/>
    <sheet name="Non-Emergency Transportation" sheetId="71" r:id="rId46"/>
    <sheet name="Scoring-CAHPS" sheetId="22" r:id="rId47"/>
    <sheet name="CAHPS" sheetId="11" r:id="rId48"/>
    <sheet name="Scoring-Mgmt Exp &amp; Retention " sheetId="63" r:id="rId49"/>
    <sheet name="Mgmt Exp &amp; Retention" sheetId="64" r:id="rId50"/>
    <sheet name="subcontractors dropdown" sheetId="13" state="hidden" r:id="rId51"/>
    <sheet name="Instruct-Template" sheetId="38" state="hidden" r:id="rId52"/>
    <sheet name="SRC Template" sheetId="37" state="hidden" r:id="rId53"/>
  </sheets>
  <externalReferences>
    <externalReference r:id="rId54"/>
  </externalReferences>
  <definedNames>
    <definedName name="Administration">'subcontractors dropdown'!$K$2:$K$4</definedName>
    <definedName name="Coverage">'subcontractors dropdown'!$G$2:$G$5</definedName>
    <definedName name="Function" localSheetId="26">'[1]subcontractors dropdown'!$A$2:$A$6</definedName>
    <definedName name="Function">'subcontractors dropdown'!$A$2:$A$6</definedName>
    <definedName name="Grievance">'subcontractors dropdown'!$H$2</definedName>
    <definedName name="Quality">'subcontractors dropdown'!$J$2:$J$3</definedName>
    <definedName name="Services">'subcontractors dropdown'!$I$2:$I$6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 i="48" l="1"/>
  <c r="B10" i="18"/>
  <c r="E26" i="71"/>
  <c r="F12" i="50"/>
  <c r="D12" i="50"/>
  <c r="B12" i="50"/>
  <c r="R44" i="66"/>
  <c r="B489" i="20"/>
  <c r="B29" i="20"/>
  <c r="C29" i="20" l="1"/>
  <c r="B20" i="20"/>
  <c r="G37" i="71"/>
  <c r="E37" i="71"/>
  <c r="C37" i="71"/>
  <c r="G36" i="71"/>
  <c r="E36" i="71"/>
  <c r="C36" i="71"/>
  <c r="G31" i="71"/>
  <c r="E31" i="71"/>
  <c r="C31" i="71"/>
  <c r="C30" i="71"/>
  <c r="G29" i="71"/>
  <c r="E29" i="71"/>
  <c r="C29" i="71"/>
  <c r="G28" i="71"/>
  <c r="E28" i="71"/>
  <c r="C28" i="71"/>
  <c r="G26" i="71"/>
  <c r="C27" i="71"/>
  <c r="C26" i="71"/>
  <c r="B17" i="71"/>
  <c r="F23" i="71"/>
  <c r="F38" i="71" s="1"/>
  <c r="F22" i="71"/>
  <c r="F32" i="71" s="1"/>
  <c r="B23" i="71"/>
  <c r="B38" i="71" s="1"/>
  <c r="B22" i="71"/>
  <c r="B32" i="71" s="1"/>
  <c r="B11" i="64"/>
  <c r="C11" i="64"/>
  <c r="B12" i="57"/>
  <c r="Q11" i="31"/>
  <c r="B21" i="71" l="1"/>
  <c r="C42" i="71" s="1"/>
  <c r="F21" i="71"/>
  <c r="G42" i="71" s="1"/>
  <c r="D111" i="66"/>
  <c r="D109" i="66"/>
  <c r="K49" i="19"/>
  <c r="B49" i="19"/>
  <c r="B21" i="45"/>
  <c r="D43" i="45" s="1"/>
  <c r="B11" i="20"/>
  <c r="C11" i="20"/>
  <c r="B12" i="20"/>
  <c r="C12" i="20"/>
  <c r="B13" i="20"/>
  <c r="C13" i="20"/>
  <c r="A531" i="20"/>
  <c r="A523" i="20"/>
  <c r="A515" i="20"/>
  <c r="C17" i="20"/>
  <c r="D21" i="45"/>
  <c r="D53" i="45" s="1"/>
  <c r="C21" i="45"/>
  <c r="D48" i="45" s="1"/>
  <c r="D16" i="45"/>
  <c r="D52" i="45" s="1"/>
  <c r="C16" i="45"/>
  <c r="D47" i="45" s="1"/>
  <c r="R64" i="66" l="1"/>
  <c r="P64" i="66"/>
  <c r="N64" i="66"/>
  <c r="L64" i="66"/>
  <c r="J64" i="66"/>
  <c r="H64" i="66"/>
  <c r="F64" i="66"/>
  <c r="D64" i="66"/>
  <c r="B64" i="66"/>
  <c r="R59" i="66"/>
  <c r="S59" i="66" s="1"/>
  <c r="P59" i="66"/>
  <c r="Q59" i="66" s="1"/>
  <c r="N59" i="66"/>
  <c r="O59" i="66" s="1"/>
  <c r="L59" i="66"/>
  <c r="J59" i="66"/>
  <c r="H59" i="66"/>
  <c r="F59" i="66"/>
  <c r="D59" i="66"/>
  <c r="B59" i="66"/>
  <c r="R54" i="66"/>
  <c r="P54" i="66"/>
  <c r="N54" i="66"/>
  <c r="O54" i="66" s="1"/>
  <c r="L54" i="66"/>
  <c r="J54" i="66"/>
  <c r="H54" i="66"/>
  <c r="I54" i="66" s="1"/>
  <c r="F54" i="66"/>
  <c r="D54" i="66"/>
  <c r="G55" i="66"/>
  <c r="G57" i="66"/>
  <c r="G56" i="66"/>
  <c r="G58" i="66"/>
  <c r="F49" i="66"/>
  <c r="B54" i="66"/>
  <c r="R49" i="66"/>
  <c r="P49" i="66"/>
  <c r="Q49" i="66" s="1"/>
  <c r="N49" i="66"/>
  <c r="O49" i="66" s="1"/>
  <c r="L49" i="66"/>
  <c r="J49" i="66"/>
  <c r="H49" i="66"/>
  <c r="D49" i="66"/>
  <c r="B49" i="66"/>
  <c r="P44" i="66"/>
  <c r="N44" i="66"/>
  <c r="L44" i="66"/>
  <c r="J44" i="66"/>
  <c r="H44" i="66"/>
  <c r="I44" i="66" s="1"/>
  <c r="F44" i="66"/>
  <c r="D44" i="66"/>
  <c r="E44" i="66" s="1"/>
  <c r="B44" i="66"/>
  <c r="R39" i="66"/>
  <c r="P39" i="66"/>
  <c r="N39" i="66"/>
  <c r="L39" i="66"/>
  <c r="J39" i="66"/>
  <c r="H39" i="66"/>
  <c r="F39" i="66"/>
  <c r="G40" i="66" s="1"/>
  <c r="D39" i="66"/>
  <c r="E40" i="66" s="1"/>
  <c r="B39" i="66"/>
  <c r="C40" i="66" s="1"/>
  <c r="B16" i="45"/>
  <c r="D42" i="45" s="1"/>
  <c r="A93" i="14"/>
  <c r="A89" i="14"/>
  <c r="A88" i="14"/>
  <c r="A87" i="14"/>
  <c r="A86" i="14"/>
  <c r="A83" i="14"/>
  <c r="A82" i="14"/>
  <c r="A81" i="14"/>
  <c r="A80" i="14"/>
  <c r="A79" i="14"/>
  <c r="A78" i="14"/>
  <c r="S54" i="66" l="1"/>
  <c r="O44" i="66"/>
  <c r="I64" i="66"/>
  <c r="K64" i="66"/>
  <c r="M64" i="66"/>
  <c r="I59" i="66"/>
  <c r="O64" i="66"/>
  <c r="I49" i="66"/>
  <c r="K59" i="66"/>
  <c r="Q64" i="66"/>
  <c r="M59" i="66"/>
  <c r="S64" i="66"/>
  <c r="G64" i="66"/>
  <c r="E64" i="66"/>
  <c r="E49" i="66"/>
  <c r="M49" i="66"/>
  <c r="C64" i="66"/>
  <c r="C54" i="66"/>
  <c r="G59" i="66"/>
  <c r="G44" i="66"/>
  <c r="G49" i="66"/>
  <c r="K54" i="66"/>
  <c r="M54" i="66"/>
  <c r="K44" i="66"/>
  <c r="M44" i="66"/>
  <c r="Q54" i="66"/>
  <c r="K49" i="66"/>
  <c r="Q44" i="66"/>
  <c r="E54" i="66"/>
  <c r="C59" i="66"/>
  <c r="S44" i="66"/>
  <c r="S49" i="66"/>
  <c r="G54" i="66"/>
  <c r="E59" i="66"/>
  <c r="C49" i="66"/>
  <c r="F17" i="71"/>
  <c r="D17" i="71"/>
  <c r="P78" i="19"/>
  <c r="P77" i="19"/>
  <c r="P76" i="19"/>
  <c r="P75" i="19"/>
  <c r="O78" i="19"/>
  <c r="O77" i="19"/>
  <c r="O76" i="19"/>
  <c r="O75" i="19"/>
  <c r="K78" i="19"/>
  <c r="K77" i="19"/>
  <c r="K76" i="19"/>
  <c r="K75" i="19"/>
  <c r="J78" i="19"/>
  <c r="J77" i="19"/>
  <c r="J76" i="19"/>
  <c r="J75" i="19"/>
  <c r="F78" i="19"/>
  <c r="F77" i="19"/>
  <c r="F76" i="19"/>
  <c r="F75" i="19"/>
  <c r="E78" i="19"/>
  <c r="E77" i="19"/>
  <c r="E76" i="19"/>
  <c r="E75" i="19"/>
  <c r="H40" i="10" l="1"/>
  <c r="A38" i="64"/>
  <c r="F12" i="31"/>
  <c r="F13" i="31"/>
  <c r="F14" i="31"/>
  <c r="F15" i="31"/>
  <c r="F16" i="31"/>
  <c r="F17" i="31"/>
  <c r="F18" i="31"/>
  <c r="F19" i="31"/>
  <c r="F20" i="31"/>
  <c r="F21" i="31"/>
  <c r="F22" i="31"/>
  <c r="F23" i="31"/>
  <c r="F24" i="31"/>
  <c r="F25" i="31"/>
  <c r="F26" i="31"/>
  <c r="F27" i="31"/>
  <c r="F28" i="31"/>
  <c r="F29" i="31"/>
  <c r="F30" i="31"/>
  <c r="F11" i="31"/>
  <c r="D81" i="50"/>
  <c r="D74" i="50"/>
  <c r="D75" i="50"/>
  <c r="D76" i="50"/>
  <c r="D77" i="50"/>
  <c r="D78" i="50"/>
  <c r="D79" i="50"/>
  <c r="D80" i="50"/>
  <c r="D73" i="50"/>
  <c r="D40" i="50"/>
  <c r="L106" i="43"/>
  <c r="C148" i="43" s="1"/>
  <c r="L79" i="43"/>
  <c r="C147" i="43" s="1"/>
  <c r="L52" i="43"/>
  <c r="C146" i="43" s="1"/>
  <c r="L25" i="43"/>
  <c r="C145" i="43" s="1"/>
  <c r="C135" i="43"/>
  <c r="L60" i="59"/>
  <c r="C81" i="59" s="1"/>
  <c r="L45" i="59"/>
  <c r="C80" i="59" s="1"/>
  <c r="L30" i="59"/>
  <c r="C79" i="59" s="1"/>
  <c r="L15" i="59"/>
  <c r="C78" i="59" s="1"/>
  <c r="D82" i="50" l="1"/>
  <c r="C82" i="59"/>
  <c r="B5" i="59" s="1"/>
  <c r="B6" i="59" s="1"/>
  <c r="D53" i="71" l="1"/>
  <c r="D52" i="71"/>
  <c r="B14" i="20"/>
  <c r="B15" i="20"/>
  <c r="B16" i="20"/>
  <c r="B17" i="20"/>
  <c r="B18" i="20"/>
  <c r="B19" i="20"/>
  <c r="B21" i="20"/>
  <c r="B22" i="20"/>
  <c r="B23" i="20"/>
  <c r="B24" i="20"/>
  <c r="B25" i="20"/>
  <c r="B26" i="20"/>
  <c r="B27" i="20"/>
  <c r="B28"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B119" i="20"/>
  <c r="B120" i="20"/>
  <c r="B121" i="20"/>
  <c r="B122" i="20"/>
  <c r="B123" i="20"/>
  <c r="B124" i="20"/>
  <c r="B125" i="20"/>
  <c r="B126" i="20"/>
  <c r="B127" i="20"/>
  <c r="B128" i="20"/>
  <c r="B129" i="20"/>
  <c r="B130" i="20"/>
  <c r="B131" i="20"/>
  <c r="B132" i="20"/>
  <c r="B133" i="20"/>
  <c r="B134" i="20"/>
  <c r="B135" i="20"/>
  <c r="B136" i="20"/>
  <c r="B137" i="20"/>
  <c r="B138" i="20"/>
  <c r="B139" i="20"/>
  <c r="B140" i="20"/>
  <c r="B141" i="20"/>
  <c r="B142" i="20"/>
  <c r="B143" i="20"/>
  <c r="B144" i="20"/>
  <c r="B145" i="20"/>
  <c r="B146" i="20"/>
  <c r="B147" i="20"/>
  <c r="B148" i="20"/>
  <c r="B149" i="20"/>
  <c r="B150" i="20"/>
  <c r="B151" i="20"/>
  <c r="B152" i="20"/>
  <c r="B153" i="20"/>
  <c r="B154" i="20"/>
  <c r="B155" i="20"/>
  <c r="B156" i="20"/>
  <c r="B157" i="20"/>
  <c r="B158" i="20"/>
  <c r="B159" i="20"/>
  <c r="B160" i="20"/>
  <c r="B161" i="20"/>
  <c r="B162" i="20"/>
  <c r="B163" i="20"/>
  <c r="B164" i="20"/>
  <c r="B165" i="20"/>
  <c r="B166" i="20"/>
  <c r="B167" i="20"/>
  <c r="B168" i="20"/>
  <c r="B169" i="20"/>
  <c r="B170" i="20"/>
  <c r="B171" i="20"/>
  <c r="B172" i="20"/>
  <c r="B173" i="20"/>
  <c r="B174" i="20"/>
  <c r="B175" i="20"/>
  <c r="B176" i="20"/>
  <c r="B177" i="20"/>
  <c r="B178" i="20"/>
  <c r="B179" i="20"/>
  <c r="B180" i="20"/>
  <c r="B181" i="20"/>
  <c r="B182" i="20"/>
  <c r="B183" i="20"/>
  <c r="B184" i="20"/>
  <c r="B185" i="20"/>
  <c r="B186" i="20"/>
  <c r="B187" i="20"/>
  <c r="B188" i="20"/>
  <c r="B189" i="20"/>
  <c r="B190" i="20"/>
  <c r="B191" i="20"/>
  <c r="B192" i="20"/>
  <c r="B193" i="20"/>
  <c r="B194" i="20"/>
  <c r="B195" i="20"/>
  <c r="B196" i="20"/>
  <c r="B197" i="20"/>
  <c r="B198" i="20"/>
  <c r="B199" i="20"/>
  <c r="B200" i="20"/>
  <c r="B201" i="20"/>
  <c r="B202" i="20"/>
  <c r="B203" i="20"/>
  <c r="B204" i="20"/>
  <c r="B205" i="20"/>
  <c r="B206" i="20"/>
  <c r="B207" i="20"/>
  <c r="B208" i="20"/>
  <c r="B209" i="20"/>
  <c r="B210" i="20"/>
  <c r="B211" i="20"/>
  <c r="B212" i="20"/>
  <c r="B213" i="20"/>
  <c r="B214" i="20"/>
  <c r="B215" i="20"/>
  <c r="B216" i="20"/>
  <c r="B217" i="20"/>
  <c r="B218" i="20"/>
  <c r="B219" i="20"/>
  <c r="B220" i="20"/>
  <c r="B221" i="20"/>
  <c r="B222" i="20"/>
  <c r="B223" i="20"/>
  <c r="B224" i="20"/>
  <c r="B225" i="20"/>
  <c r="B226" i="20"/>
  <c r="B227" i="20"/>
  <c r="B228" i="20"/>
  <c r="B229" i="20"/>
  <c r="B230" i="20"/>
  <c r="B231" i="20"/>
  <c r="B232" i="20"/>
  <c r="B233" i="20"/>
  <c r="B234" i="20"/>
  <c r="B235" i="20"/>
  <c r="B236" i="20"/>
  <c r="B237" i="20"/>
  <c r="B238" i="20"/>
  <c r="B239" i="20"/>
  <c r="B240" i="20"/>
  <c r="B241" i="20"/>
  <c r="B242" i="20"/>
  <c r="B243" i="20"/>
  <c r="B244" i="20"/>
  <c r="B245" i="20"/>
  <c r="B246" i="20"/>
  <c r="B247" i="20"/>
  <c r="B248" i="20"/>
  <c r="B249" i="20"/>
  <c r="B250" i="20"/>
  <c r="B251" i="20"/>
  <c r="B252" i="20"/>
  <c r="B253" i="20"/>
  <c r="B254" i="20"/>
  <c r="B255" i="20"/>
  <c r="B256" i="20"/>
  <c r="B257" i="20"/>
  <c r="B258" i="20"/>
  <c r="B259" i="20"/>
  <c r="B260" i="20"/>
  <c r="B261" i="20"/>
  <c r="B262" i="20"/>
  <c r="B263" i="20"/>
  <c r="B264" i="20"/>
  <c r="B265" i="20"/>
  <c r="B266" i="20"/>
  <c r="B267" i="20"/>
  <c r="B268" i="20"/>
  <c r="B269" i="20"/>
  <c r="B270" i="20"/>
  <c r="B271" i="20"/>
  <c r="B272" i="20"/>
  <c r="B273" i="20"/>
  <c r="B274" i="20"/>
  <c r="B275" i="20"/>
  <c r="B276" i="20"/>
  <c r="B277" i="20"/>
  <c r="B278" i="20"/>
  <c r="B279" i="20"/>
  <c r="B280" i="20"/>
  <c r="B281" i="20"/>
  <c r="B282" i="20"/>
  <c r="B283" i="20"/>
  <c r="B284" i="20"/>
  <c r="B285" i="20"/>
  <c r="B286" i="20"/>
  <c r="B287" i="20"/>
  <c r="B288" i="20"/>
  <c r="B289" i="20"/>
  <c r="B290" i="20"/>
  <c r="B291" i="20"/>
  <c r="B292" i="20"/>
  <c r="B293" i="20"/>
  <c r="B294" i="20"/>
  <c r="B295" i="20"/>
  <c r="B296" i="20"/>
  <c r="B297" i="20"/>
  <c r="B298" i="20"/>
  <c r="B299" i="20"/>
  <c r="B300" i="20"/>
  <c r="B301" i="20"/>
  <c r="B302" i="20"/>
  <c r="B303" i="20"/>
  <c r="B304" i="20"/>
  <c r="B305" i="20"/>
  <c r="B306" i="20"/>
  <c r="B307" i="20"/>
  <c r="B308" i="20"/>
  <c r="B309" i="20"/>
  <c r="B310" i="20"/>
  <c r="B311" i="20"/>
  <c r="B312" i="20"/>
  <c r="B313" i="20"/>
  <c r="B314" i="20"/>
  <c r="B315" i="20"/>
  <c r="B316" i="20"/>
  <c r="B317" i="20"/>
  <c r="B318" i="20"/>
  <c r="B319" i="20"/>
  <c r="B320" i="20"/>
  <c r="B321" i="20"/>
  <c r="B322" i="20"/>
  <c r="B323" i="20"/>
  <c r="B324" i="20"/>
  <c r="B325" i="20"/>
  <c r="B326" i="20"/>
  <c r="B327" i="20"/>
  <c r="B328" i="20"/>
  <c r="B329" i="20"/>
  <c r="B330" i="20"/>
  <c r="B331" i="20"/>
  <c r="B332" i="20"/>
  <c r="B333" i="20"/>
  <c r="B334" i="20"/>
  <c r="B335" i="20"/>
  <c r="B336" i="20"/>
  <c r="B337" i="20"/>
  <c r="B338" i="20"/>
  <c r="B339" i="20"/>
  <c r="B340" i="20"/>
  <c r="B341" i="20"/>
  <c r="B342" i="20"/>
  <c r="B343" i="20"/>
  <c r="B344" i="20"/>
  <c r="B345" i="20"/>
  <c r="B346" i="20"/>
  <c r="B347" i="20"/>
  <c r="B348" i="20"/>
  <c r="B349" i="20"/>
  <c r="B350" i="20"/>
  <c r="B351" i="20"/>
  <c r="B352" i="20"/>
  <c r="B353" i="20"/>
  <c r="B354" i="20"/>
  <c r="B355" i="20"/>
  <c r="B356" i="20"/>
  <c r="B357" i="20"/>
  <c r="B358" i="20"/>
  <c r="B359" i="20"/>
  <c r="B360" i="20"/>
  <c r="B361" i="20"/>
  <c r="B362" i="20"/>
  <c r="B363" i="20"/>
  <c r="B364" i="20"/>
  <c r="B365" i="20"/>
  <c r="B366" i="20"/>
  <c r="B367" i="20"/>
  <c r="B368" i="20"/>
  <c r="B369" i="20"/>
  <c r="B370" i="20"/>
  <c r="B371" i="20"/>
  <c r="B372" i="20"/>
  <c r="B373" i="20"/>
  <c r="B374" i="20"/>
  <c r="B375" i="20"/>
  <c r="B376" i="20"/>
  <c r="B377" i="20"/>
  <c r="B378" i="20"/>
  <c r="B379" i="20"/>
  <c r="B380" i="20"/>
  <c r="B381" i="20"/>
  <c r="B382" i="20"/>
  <c r="B383" i="20"/>
  <c r="B384" i="20"/>
  <c r="B385" i="20"/>
  <c r="B386" i="20"/>
  <c r="B387" i="20"/>
  <c r="B388" i="20"/>
  <c r="B389" i="20"/>
  <c r="B390" i="20"/>
  <c r="B391" i="20"/>
  <c r="B392" i="20"/>
  <c r="B393" i="20"/>
  <c r="B394" i="20"/>
  <c r="B395" i="20"/>
  <c r="B396" i="20"/>
  <c r="B397" i="20"/>
  <c r="B398" i="20"/>
  <c r="B399" i="20"/>
  <c r="B400" i="20"/>
  <c r="B401" i="20"/>
  <c r="B402" i="20"/>
  <c r="B403" i="20"/>
  <c r="B404" i="20"/>
  <c r="B405" i="20"/>
  <c r="B406" i="20"/>
  <c r="B407" i="20"/>
  <c r="B408" i="20"/>
  <c r="B409" i="20"/>
  <c r="B410" i="20"/>
  <c r="B411" i="20"/>
  <c r="B412" i="20"/>
  <c r="B413" i="20"/>
  <c r="B414" i="20"/>
  <c r="B415" i="20"/>
  <c r="B416" i="20"/>
  <c r="B417" i="20"/>
  <c r="B418" i="20"/>
  <c r="B419" i="20"/>
  <c r="B420" i="20"/>
  <c r="B421" i="20"/>
  <c r="B422" i="20"/>
  <c r="B423" i="20"/>
  <c r="B424" i="20"/>
  <c r="B425" i="20"/>
  <c r="B426" i="20"/>
  <c r="B427" i="20"/>
  <c r="B428" i="20"/>
  <c r="B429" i="20"/>
  <c r="B430" i="20"/>
  <c r="B431" i="20"/>
  <c r="B432" i="20"/>
  <c r="B433" i="20"/>
  <c r="B434" i="20"/>
  <c r="B435" i="20"/>
  <c r="B436" i="20"/>
  <c r="B437" i="20"/>
  <c r="B438" i="20"/>
  <c r="B439" i="20"/>
  <c r="B440" i="20"/>
  <c r="B441" i="20"/>
  <c r="B442" i="20"/>
  <c r="B443" i="20"/>
  <c r="B444" i="20"/>
  <c r="B445" i="20"/>
  <c r="B446" i="20"/>
  <c r="B447" i="20"/>
  <c r="B448" i="20"/>
  <c r="B449" i="20"/>
  <c r="B450" i="20"/>
  <c r="B451" i="20"/>
  <c r="B452" i="20"/>
  <c r="B453" i="20"/>
  <c r="B454" i="20"/>
  <c r="B455" i="20"/>
  <c r="B456" i="20"/>
  <c r="B457" i="20"/>
  <c r="B458" i="20"/>
  <c r="B459" i="20"/>
  <c r="B460" i="20"/>
  <c r="B461" i="20"/>
  <c r="B462" i="20"/>
  <c r="B463" i="20"/>
  <c r="B464" i="20"/>
  <c r="B465" i="20"/>
  <c r="B466" i="20"/>
  <c r="B467" i="20"/>
  <c r="B468" i="20"/>
  <c r="B469" i="20"/>
  <c r="B470" i="20"/>
  <c r="B471" i="20"/>
  <c r="B472" i="20"/>
  <c r="B473" i="20"/>
  <c r="B474" i="20"/>
  <c r="B475" i="20"/>
  <c r="B476" i="20"/>
  <c r="B477" i="20"/>
  <c r="B478" i="20"/>
  <c r="B479" i="20"/>
  <c r="B480" i="20"/>
  <c r="B481" i="20"/>
  <c r="B482" i="20"/>
  <c r="B483" i="20"/>
  <c r="B484" i="20"/>
  <c r="B485" i="20"/>
  <c r="B486" i="20"/>
  <c r="B487" i="20"/>
  <c r="B488" i="20"/>
  <c r="B490" i="20"/>
  <c r="B491" i="20"/>
  <c r="B492" i="20"/>
  <c r="B493" i="20"/>
  <c r="B494" i="20"/>
  <c r="B495" i="20"/>
  <c r="B496" i="20"/>
  <c r="B497" i="20"/>
  <c r="B498" i="20"/>
  <c r="B499" i="20"/>
  <c r="B500" i="20"/>
  <c r="B501" i="20"/>
  <c r="B502" i="20"/>
  <c r="B503" i="20"/>
  <c r="B504" i="20"/>
  <c r="B505" i="20"/>
  <c r="B506" i="20"/>
  <c r="B507" i="20"/>
  <c r="B508" i="20"/>
  <c r="B509" i="20"/>
  <c r="C14" i="20"/>
  <c r="C15" i="20"/>
  <c r="C16" i="20"/>
  <c r="C18" i="20"/>
  <c r="C19" i="20"/>
  <c r="C20" i="20"/>
  <c r="C21" i="20"/>
  <c r="C22" i="20"/>
  <c r="C23" i="20"/>
  <c r="C24" i="20"/>
  <c r="C25" i="20"/>
  <c r="C26" i="20"/>
  <c r="C27" i="20"/>
  <c r="C28" i="20"/>
  <c r="C30" i="20"/>
  <c r="C31" i="20"/>
  <c r="C32" i="20"/>
  <c r="C33" i="20"/>
  <c r="C34" i="20"/>
  <c r="C35" i="20"/>
  <c r="C36" i="20"/>
  <c r="C37" i="20"/>
  <c r="C38" i="20"/>
  <c r="C39" i="20"/>
  <c r="C40" i="20"/>
  <c r="C41" i="20"/>
  <c r="C42" i="20"/>
  <c r="C43" i="20"/>
  <c r="C44" i="20"/>
  <c r="C45" i="20"/>
  <c r="C46" i="20"/>
  <c r="C47" i="20"/>
  <c r="C48" i="20"/>
  <c r="C49" i="20"/>
  <c r="C50" i="20"/>
  <c r="C51" i="20"/>
  <c r="C52" i="20"/>
  <c r="C53" i="20"/>
  <c r="C54" i="20"/>
  <c r="C55" i="20"/>
  <c r="C56" i="20"/>
  <c r="C57" i="20"/>
  <c r="C58" i="20"/>
  <c r="C59" i="20"/>
  <c r="C60" i="20"/>
  <c r="C61" i="20"/>
  <c r="C62" i="20"/>
  <c r="C63" i="20"/>
  <c r="C64" i="20"/>
  <c r="C65" i="20"/>
  <c r="C66" i="20"/>
  <c r="C67" i="20"/>
  <c r="C68" i="20"/>
  <c r="C69" i="20"/>
  <c r="C70" i="20"/>
  <c r="C71" i="20"/>
  <c r="C72" i="20"/>
  <c r="C73" i="20"/>
  <c r="C74" i="20"/>
  <c r="C75" i="20"/>
  <c r="C76" i="20"/>
  <c r="C77" i="20"/>
  <c r="C78" i="20"/>
  <c r="C79" i="20"/>
  <c r="C80" i="20"/>
  <c r="C81" i="20"/>
  <c r="C82" i="20"/>
  <c r="C83" i="20"/>
  <c r="C84" i="20"/>
  <c r="C85" i="20"/>
  <c r="C86" i="20"/>
  <c r="C87" i="20"/>
  <c r="C88" i="20"/>
  <c r="C89" i="20"/>
  <c r="C90" i="20"/>
  <c r="C91" i="20"/>
  <c r="C92" i="20"/>
  <c r="C93" i="20"/>
  <c r="C94" i="20"/>
  <c r="C95" i="20"/>
  <c r="C96" i="20"/>
  <c r="C97" i="20"/>
  <c r="C98" i="20"/>
  <c r="C99" i="20"/>
  <c r="C100" i="20"/>
  <c r="C101" i="20"/>
  <c r="C102" i="20"/>
  <c r="C103" i="20"/>
  <c r="C104" i="20"/>
  <c r="C105" i="20"/>
  <c r="C106" i="20"/>
  <c r="C107" i="20"/>
  <c r="C108" i="20"/>
  <c r="C109" i="20"/>
  <c r="C110" i="20"/>
  <c r="C111" i="20"/>
  <c r="C112" i="20"/>
  <c r="C113" i="20"/>
  <c r="C114" i="20"/>
  <c r="C115" i="20"/>
  <c r="C116" i="20"/>
  <c r="C117" i="20"/>
  <c r="C118" i="20"/>
  <c r="C119" i="20"/>
  <c r="C120" i="20"/>
  <c r="C121" i="20"/>
  <c r="C122" i="20"/>
  <c r="C123" i="20"/>
  <c r="C124" i="20"/>
  <c r="C125" i="20"/>
  <c r="C126" i="20"/>
  <c r="C127" i="20"/>
  <c r="C128" i="20"/>
  <c r="C129" i="20"/>
  <c r="C130" i="20"/>
  <c r="C131" i="20"/>
  <c r="C132" i="20"/>
  <c r="C133" i="20"/>
  <c r="C134" i="20"/>
  <c r="C135" i="20"/>
  <c r="C136" i="20"/>
  <c r="C137" i="20"/>
  <c r="C138" i="20"/>
  <c r="C139" i="20"/>
  <c r="C140" i="20"/>
  <c r="C141" i="20"/>
  <c r="C142" i="20"/>
  <c r="C143" i="20"/>
  <c r="C144" i="20"/>
  <c r="C145" i="20"/>
  <c r="C146" i="20"/>
  <c r="C147" i="20"/>
  <c r="C148" i="20"/>
  <c r="C149" i="20"/>
  <c r="C150" i="20"/>
  <c r="C151" i="20"/>
  <c r="C152" i="20"/>
  <c r="C153" i="20"/>
  <c r="C154" i="20"/>
  <c r="C155" i="20"/>
  <c r="C156" i="20"/>
  <c r="C157" i="20"/>
  <c r="C158" i="20"/>
  <c r="C159" i="20"/>
  <c r="C160" i="20"/>
  <c r="C161" i="20"/>
  <c r="C162" i="20"/>
  <c r="C163" i="20"/>
  <c r="C164" i="20"/>
  <c r="C165" i="20"/>
  <c r="C166" i="20"/>
  <c r="C167" i="20"/>
  <c r="C168" i="20"/>
  <c r="C169" i="20"/>
  <c r="C170" i="20"/>
  <c r="C171" i="20"/>
  <c r="C172" i="20"/>
  <c r="C173" i="20"/>
  <c r="C174" i="20"/>
  <c r="C175" i="20"/>
  <c r="C176" i="20"/>
  <c r="C177" i="20"/>
  <c r="C178" i="20"/>
  <c r="C179" i="20"/>
  <c r="C180" i="20"/>
  <c r="C181" i="20"/>
  <c r="C182" i="20"/>
  <c r="C183" i="20"/>
  <c r="C184" i="20"/>
  <c r="C185" i="20"/>
  <c r="C186" i="20"/>
  <c r="C187" i="20"/>
  <c r="C188" i="20"/>
  <c r="C189" i="20"/>
  <c r="C190" i="20"/>
  <c r="C191" i="20"/>
  <c r="C192" i="20"/>
  <c r="C193" i="20"/>
  <c r="C194" i="20"/>
  <c r="C195" i="20"/>
  <c r="C196" i="20"/>
  <c r="C197" i="20"/>
  <c r="C198" i="20"/>
  <c r="C199" i="20"/>
  <c r="C200" i="20"/>
  <c r="C201" i="20"/>
  <c r="C202" i="20"/>
  <c r="C203" i="20"/>
  <c r="C204" i="20"/>
  <c r="C205" i="20"/>
  <c r="C206" i="20"/>
  <c r="C207" i="20"/>
  <c r="C208" i="20"/>
  <c r="C209" i="20"/>
  <c r="C210" i="20"/>
  <c r="C211" i="20"/>
  <c r="C212" i="20"/>
  <c r="C213" i="20"/>
  <c r="C214" i="20"/>
  <c r="C215" i="20"/>
  <c r="C216" i="20"/>
  <c r="C217" i="20"/>
  <c r="C218" i="20"/>
  <c r="C219" i="20"/>
  <c r="C220" i="20"/>
  <c r="C221" i="20"/>
  <c r="C222" i="20"/>
  <c r="C223" i="20"/>
  <c r="C224" i="20"/>
  <c r="C225" i="20"/>
  <c r="C226" i="20"/>
  <c r="C227" i="20"/>
  <c r="C228" i="20"/>
  <c r="C229" i="20"/>
  <c r="C230" i="20"/>
  <c r="C231" i="20"/>
  <c r="C232" i="20"/>
  <c r="C233" i="20"/>
  <c r="C234" i="20"/>
  <c r="C235" i="20"/>
  <c r="C236" i="20"/>
  <c r="C237" i="20"/>
  <c r="C238" i="20"/>
  <c r="C239" i="20"/>
  <c r="C240" i="20"/>
  <c r="C241" i="20"/>
  <c r="C242" i="20"/>
  <c r="C243" i="20"/>
  <c r="C244" i="20"/>
  <c r="C245" i="20"/>
  <c r="C246" i="20"/>
  <c r="C247" i="20"/>
  <c r="C248" i="20"/>
  <c r="C249" i="20"/>
  <c r="C250" i="20"/>
  <c r="C251" i="20"/>
  <c r="C252" i="20"/>
  <c r="C253" i="20"/>
  <c r="C254" i="20"/>
  <c r="C255" i="20"/>
  <c r="C256" i="20"/>
  <c r="C257" i="20"/>
  <c r="C258" i="20"/>
  <c r="C259" i="20"/>
  <c r="C260" i="20"/>
  <c r="C261" i="20"/>
  <c r="C262" i="20"/>
  <c r="C263" i="20"/>
  <c r="C264" i="20"/>
  <c r="C265" i="20"/>
  <c r="C266" i="20"/>
  <c r="C267" i="20"/>
  <c r="C268" i="20"/>
  <c r="C269" i="20"/>
  <c r="C270" i="20"/>
  <c r="C271" i="20"/>
  <c r="C272" i="20"/>
  <c r="C273" i="20"/>
  <c r="C274" i="20"/>
  <c r="C275" i="20"/>
  <c r="C276" i="20"/>
  <c r="C277" i="20"/>
  <c r="C278" i="20"/>
  <c r="C279" i="20"/>
  <c r="C280" i="20"/>
  <c r="C281" i="20"/>
  <c r="C282" i="20"/>
  <c r="C283" i="20"/>
  <c r="C284" i="20"/>
  <c r="C285" i="20"/>
  <c r="C286" i="20"/>
  <c r="C287" i="20"/>
  <c r="C288" i="20"/>
  <c r="C289" i="20"/>
  <c r="C290" i="20"/>
  <c r="C291" i="20"/>
  <c r="C292" i="20"/>
  <c r="C293" i="20"/>
  <c r="C294" i="20"/>
  <c r="C295" i="20"/>
  <c r="C296" i="20"/>
  <c r="C297" i="20"/>
  <c r="C298" i="20"/>
  <c r="C299" i="20"/>
  <c r="C300" i="20"/>
  <c r="C301" i="20"/>
  <c r="C302" i="20"/>
  <c r="C303" i="20"/>
  <c r="C304" i="20"/>
  <c r="C305" i="20"/>
  <c r="C306" i="20"/>
  <c r="C307" i="20"/>
  <c r="C308" i="20"/>
  <c r="C309" i="20"/>
  <c r="C310" i="20"/>
  <c r="C311" i="20"/>
  <c r="C312" i="20"/>
  <c r="C313" i="20"/>
  <c r="C314" i="20"/>
  <c r="C315" i="20"/>
  <c r="C316" i="20"/>
  <c r="C317" i="20"/>
  <c r="C318" i="20"/>
  <c r="C319" i="20"/>
  <c r="C320" i="20"/>
  <c r="C321" i="20"/>
  <c r="C322" i="20"/>
  <c r="C323" i="20"/>
  <c r="C324" i="20"/>
  <c r="C325" i="20"/>
  <c r="C326" i="20"/>
  <c r="C327" i="20"/>
  <c r="C328" i="20"/>
  <c r="C329" i="20"/>
  <c r="C330" i="20"/>
  <c r="C331" i="20"/>
  <c r="C332" i="20"/>
  <c r="C333" i="20"/>
  <c r="C334" i="20"/>
  <c r="C335" i="20"/>
  <c r="C336" i="20"/>
  <c r="C337" i="20"/>
  <c r="C338" i="20"/>
  <c r="C339" i="20"/>
  <c r="C340" i="20"/>
  <c r="C341" i="20"/>
  <c r="C342" i="20"/>
  <c r="C343" i="20"/>
  <c r="C344" i="20"/>
  <c r="C345" i="20"/>
  <c r="C346" i="20"/>
  <c r="C347" i="20"/>
  <c r="C348" i="20"/>
  <c r="C349" i="20"/>
  <c r="C350" i="20"/>
  <c r="C351" i="20"/>
  <c r="C352" i="20"/>
  <c r="C353" i="20"/>
  <c r="C354" i="20"/>
  <c r="C355" i="20"/>
  <c r="C356" i="20"/>
  <c r="C357" i="20"/>
  <c r="C358" i="20"/>
  <c r="C359" i="20"/>
  <c r="C360" i="20"/>
  <c r="C361" i="20"/>
  <c r="C362" i="20"/>
  <c r="C363" i="20"/>
  <c r="C364" i="20"/>
  <c r="C365" i="20"/>
  <c r="C366" i="20"/>
  <c r="C367" i="20"/>
  <c r="C368" i="20"/>
  <c r="C369" i="20"/>
  <c r="C370" i="20"/>
  <c r="C371" i="20"/>
  <c r="C372" i="20"/>
  <c r="C373" i="20"/>
  <c r="C374" i="20"/>
  <c r="C375" i="20"/>
  <c r="C376" i="20"/>
  <c r="C377" i="20"/>
  <c r="C378" i="20"/>
  <c r="C379" i="20"/>
  <c r="C380" i="20"/>
  <c r="C381" i="20"/>
  <c r="C382" i="20"/>
  <c r="C383" i="20"/>
  <c r="C384" i="20"/>
  <c r="C385" i="20"/>
  <c r="C386" i="20"/>
  <c r="C387" i="20"/>
  <c r="C388" i="20"/>
  <c r="C389" i="20"/>
  <c r="C390" i="20"/>
  <c r="C391" i="20"/>
  <c r="C392" i="20"/>
  <c r="C393" i="20"/>
  <c r="C394" i="20"/>
  <c r="C395" i="20"/>
  <c r="C396" i="20"/>
  <c r="C397" i="20"/>
  <c r="C398" i="20"/>
  <c r="C399" i="20"/>
  <c r="C400" i="20"/>
  <c r="C401" i="20"/>
  <c r="C402" i="20"/>
  <c r="C403" i="20"/>
  <c r="C404" i="20"/>
  <c r="C405" i="20"/>
  <c r="C406" i="20"/>
  <c r="C407" i="20"/>
  <c r="C408" i="20"/>
  <c r="C409" i="20"/>
  <c r="C410" i="20"/>
  <c r="C411" i="20"/>
  <c r="C412" i="20"/>
  <c r="C413" i="20"/>
  <c r="C414" i="20"/>
  <c r="C415" i="20"/>
  <c r="C416" i="20"/>
  <c r="C417" i="20"/>
  <c r="C418" i="20"/>
  <c r="C419" i="20"/>
  <c r="C420" i="20"/>
  <c r="C421" i="20"/>
  <c r="C422" i="20"/>
  <c r="C423" i="20"/>
  <c r="C424" i="20"/>
  <c r="C425" i="20"/>
  <c r="C426" i="20"/>
  <c r="C427" i="20"/>
  <c r="C428" i="20"/>
  <c r="C429" i="20"/>
  <c r="C430" i="20"/>
  <c r="C431" i="20"/>
  <c r="C432" i="20"/>
  <c r="C433" i="20"/>
  <c r="C434" i="20"/>
  <c r="C435" i="20"/>
  <c r="C436" i="20"/>
  <c r="C437" i="20"/>
  <c r="C438" i="20"/>
  <c r="C439" i="20"/>
  <c r="C440" i="20"/>
  <c r="C441" i="20"/>
  <c r="C442" i="20"/>
  <c r="C443" i="20"/>
  <c r="C444" i="20"/>
  <c r="C445" i="20"/>
  <c r="C446" i="20"/>
  <c r="C447" i="20"/>
  <c r="C448" i="20"/>
  <c r="C449" i="20"/>
  <c r="C450" i="20"/>
  <c r="C451" i="20"/>
  <c r="C452" i="20"/>
  <c r="C453" i="20"/>
  <c r="C454" i="20"/>
  <c r="C455" i="20"/>
  <c r="C456" i="20"/>
  <c r="C457" i="20"/>
  <c r="C458" i="20"/>
  <c r="C459" i="20"/>
  <c r="C460" i="20"/>
  <c r="C461" i="20"/>
  <c r="C462" i="20"/>
  <c r="C463" i="20"/>
  <c r="C464" i="20"/>
  <c r="C465" i="20"/>
  <c r="C466" i="20"/>
  <c r="C467" i="20"/>
  <c r="C468" i="20"/>
  <c r="C469" i="20"/>
  <c r="C470" i="20"/>
  <c r="C471" i="20"/>
  <c r="C472" i="20"/>
  <c r="C473" i="20"/>
  <c r="C474" i="20"/>
  <c r="C475" i="20"/>
  <c r="C476" i="20"/>
  <c r="C477" i="20"/>
  <c r="C478" i="20"/>
  <c r="C479" i="20"/>
  <c r="C480" i="20"/>
  <c r="C481" i="20"/>
  <c r="C482" i="20"/>
  <c r="C483" i="20"/>
  <c r="C484" i="20"/>
  <c r="C485" i="20"/>
  <c r="C486" i="20"/>
  <c r="C487" i="20"/>
  <c r="C488" i="20"/>
  <c r="C489" i="20"/>
  <c r="C490" i="20"/>
  <c r="C491" i="20"/>
  <c r="C492" i="20"/>
  <c r="C493" i="20"/>
  <c r="C494" i="20"/>
  <c r="C495" i="20"/>
  <c r="C496" i="20"/>
  <c r="C497" i="20"/>
  <c r="C498" i="20"/>
  <c r="C499" i="20"/>
  <c r="C500" i="20"/>
  <c r="C501" i="20"/>
  <c r="C502" i="20"/>
  <c r="C503" i="20"/>
  <c r="C504" i="20"/>
  <c r="C505" i="20"/>
  <c r="C506" i="20"/>
  <c r="C507" i="20"/>
  <c r="C508" i="20"/>
  <c r="C509" i="20"/>
  <c r="D54" i="71"/>
  <c r="D72" i="71"/>
  <c r="D62" i="71"/>
  <c r="G27" i="71"/>
  <c r="E27" i="71"/>
  <c r="D55" i="71"/>
  <c r="B553" i="20"/>
  <c r="D79" i="71"/>
  <c r="D78" i="71"/>
  <c r="D69" i="71"/>
  <c r="D68" i="71"/>
  <c r="D56" i="71"/>
  <c r="D59" i="71"/>
  <c r="D58" i="71"/>
  <c r="D76" i="71"/>
  <c r="D66" i="71"/>
  <c r="D75" i="71"/>
  <c r="D65" i="71"/>
  <c r="D74" i="71"/>
  <c r="D64" i="71"/>
  <c r="G30" i="71"/>
  <c r="D73" i="71" s="1"/>
  <c r="E30" i="71"/>
  <c r="D63" i="71" s="1"/>
  <c r="D71" i="71"/>
  <c r="D61" i="71"/>
  <c r="D51" i="71"/>
  <c r="D23" i="71"/>
  <c r="D38" i="71" s="1"/>
  <c r="D22" i="71"/>
  <c r="D32" i="71" s="1"/>
  <c r="F13" i="71"/>
  <c r="D13" i="71"/>
  <c r="B13" i="71"/>
  <c r="B10" i="71"/>
  <c r="A51" i="71" s="1"/>
  <c r="D10" i="71"/>
  <c r="A61" i="71" s="1"/>
  <c r="F10" i="71"/>
  <c r="A71" i="71" s="1"/>
  <c r="B11" i="71"/>
  <c r="D11" i="71"/>
  <c r="F11" i="71"/>
  <c r="M555" i="20"/>
  <c r="L555" i="20"/>
  <c r="M554" i="20"/>
  <c r="L554" i="20"/>
  <c r="K554" i="20"/>
  <c r="D515" i="20" s="1"/>
  <c r="M553" i="20"/>
  <c r="L553" i="20"/>
  <c r="K555" i="20"/>
  <c r="E515" i="20" s="1"/>
  <c r="K553" i="20"/>
  <c r="D94" i="52"/>
  <c r="D93" i="52"/>
  <c r="D80" i="52"/>
  <c r="D79" i="52"/>
  <c r="D66" i="52"/>
  <c r="D65" i="52"/>
  <c r="D105" i="52"/>
  <c r="D104" i="52"/>
  <c r="D103" i="52"/>
  <c r="D102" i="52"/>
  <c r="D101" i="52"/>
  <c r="D100" i="52"/>
  <c r="D99" i="52"/>
  <c r="D96" i="52"/>
  <c r="D82" i="52"/>
  <c r="B4" i="52"/>
  <c r="D68" i="52"/>
  <c r="I52" i="52"/>
  <c r="I51" i="52"/>
  <c r="I50" i="52"/>
  <c r="I49" i="52"/>
  <c r="I48" i="52"/>
  <c r="I47" i="52"/>
  <c r="I46" i="52"/>
  <c r="I45" i="52"/>
  <c r="I44" i="52"/>
  <c r="I43" i="52"/>
  <c r="I42" i="52"/>
  <c r="I41" i="52"/>
  <c r="I40" i="52"/>
  <c r="I39" i="52"/>
  <c r="I38" i="52"/>
  <c r="B37" i="57"/>
  <c r="B34" i="57"/>
  <c r="B31" i="57"/>
  <c r="B28" i="57"/>
  <c r="B21" i="57"/>
  <c r="B24" i="57"/>
  <c r="E526" i="20" l="1"/>
  <c r="E523" i="20"/>
  <c r="E531" i="20"/>
  <c r="E534" i="20"/>
  <c r="D523" i="20"/>
  <c r="D526" i="20"/>
  <c r="D534" i="20"/>
  <c r="D531" i="20"/>
  <c r="C534" i="20"/>
  <c r="C531" i="20"/>
  <c r="C515" i="20"/>
  <c r="C518" i="20"/>
  <c r="C523" i="20"/>
  <c r="C526" i="20"/>
  <c r="D518" i="20"/>
  <c r="E518" i="20"/>
  <c r="D21" i="71"/>
  <c r="D77" i="71"/>
  <c r="D80" i="71" s="1"/>
  <c r="P64" i="19"/>
  <c r="P63" i="19"/>
  <c r="P62" i="19"/>
  <c r="P61" i="19"/>
  <c r="P60" i="19"/>
  <c r="P59" i="19"/>
  <c r="P58" i="19"/>
  <c r="P57" i="19"/>
  <c r="P56" i="19"/>
  <c r="P55" i="19"/>
  <c r="P54" i="19"/>
  <c r="P53" i="19"/>
  <c r="P52" i="19"/>
  <c r="P51" i="19"/>
  <c r="P50" i="19"/>
  <c r="P49" i="19"/>
  <c r="K64" i="19"/>
  <c r="K63" i="19"/>
  <c r="K62" i="19"/>
  <c r="K61" i="19"/>
  <c r="K60" i="19"/>
  <c r="K59" i="19"/>
  <c r="K58" i="19"/>
  <c r="K57" i="19"/>
  <c r="K56" i="19"/>
  <c r="K55" i="19"/>
  <c r="K54" i="19"/>
  <c r="K53" i="19"/>
  <c r="K52" i="19"/>
  <c r="K51" i="19"/>
  <c r="K50" i="19"/>
  <c r="F64" i="19"/>
  <c r="F63" i="19"/>
  <c r="F62" i="19"/>
  <c r="F61" i="19"/>
  <c r="F60" i="19"/>
  <c r="F59" i="19"/>
  <c r="F58" i="19"/>
  <c r="F57" i="19"/>
  <c r="F56" i="19"/>
  <c r="F55" i="19"/>
  <c r="F54" i="19"/>
  <c r="F53" i="19"/>
  <c r="F52" i="19"/>
  <c r="F51" i="19"/>
  <c r="F50" i="19"/>
  <c r="F49" i="19"/>
  <c r="S12" i="31"/>
  <c r="S13" i="31"/>
  <c r="S14" i="31"/>
  <c r="S15" i="31"/>
  <c r="S16" i="31"/>
  <c r="S17" i="31"/>
  <c r="S18" i="31"/>
  <c r="S19" i="31"/>
  <c r="S20" i="31"/>
  <c r="S21" i="31"/>
  <c r="S22" i="31"/>
  <c r="S23" i="31"/>
  <c r="S24" i="31"/>
  <c r="S25" i="31"/>
  <c r="S26" i="31"/>
  <c r="S27" i="31"/>
  <c r="S28" i="31"/>
  <c r="S29" i="31"/>
  <c r="S30" i="31"/>
  <c r="S11" i="31"/>
  <c r="Q12" i="31"/>
  <c r="Q13" i="31"/>
  <c r="Q14" i="31"/>
  <c r="Q15" i="31"/>
  <c r="Q16" i="31"/>
  <c r="Q17" i="31"/>
  <c r="Q18" i="31"/>
  <c r="Q19" i="31"/>
  <c r="Q20" i="31"/>
  <c r="Q21" i="31"/>
  <c r="Q22" i="31"/>
  <c r="Q23" i="31"/>
  <c r="Q24" i="31"/>
  <c r="Q25" i="31"/>
  <c r="Q26" i="31"/>
  <c r="Q27" i="31"/>
  <c r="Q28" i="31"/>
  <c r="Q29" i="31"/>
  <c r="Q30" i="31"/>
  <c r="D98" i="66"/>
  <c r="O62" i="19"/>
  <c r="O61" i="19"/>
  <c r="O60" i="19"/>
  <c r="O59" i="19"/>
  <c r="O58" i="19"/>
  <c r="O57" i="19"/>
  <c r="O56" i="19"/>
  <c r="O52" i="19"/>
  <c r="O51" i="19"/>
  <c r="O50" i="19"/>
  <c r="O49" i="19"/>
  <c r="J62" i="19"/>
  <c r="J61" i="19"/>
  <c r="J60" i="19"/>
  <c r="J59" i="19"/>
  <c r="J58" i="19"/>
  <c r="J57" i="19"/>
  <c r="J56" i="19"/>
  <c r="J52" i="19"/>
  <c r="J51" i="19"/>
  <c r="J50" i="19"/>
  <c r="F111" i="66"/>
  <c r="J49" i="19"/>
  <c r="E111" i="66"/>
  <c r="E62" i="19"/>
  <c r="E61" i="19"/>
  <c r="E60" i="19"/>
  <c r="E59" i="19"/>
  <c r="E58" i="19"/>
  <c r="E57" i="19"/>
  <c r="E56" i="19"/>
  <c r="E52" i="19"/>
  <c r="E51" i="19"/>
  <c r="E50" i="19"/>
  <c r="B565" i="20"/>
  <c r="C47" i="18"/>
  <c r="E49" i="19"/>
  <c r="C52" i="19"/>
  <c r="F38" i="64"/>
  <c r="P11" i="31"/>
  <c r="B11" i="50"/>
  <c r="B21" i="11"/>
  <c r="B11" i="19"/>
  <c r="E42" i="71" l="1"/>
  <c r="D67" i="71" s="1"/>
  <c r="D70" i="71" s="1"/>
  <c r="D57" i="71"/>
  <c r="D60" i="71" s="1"/>
  <c r="P12" i="70"/>
  <c r="P13" i="70"/>
  <c r="P14" i="70"/>
  <c r="P15" i="70"/>
  <c r="P16" i="70"/>
  <c r="P17" i="70"/>
  <c r="P18" i="70"/>
  <c r="P19" i="70"/>
  <c r="P20" i="70"/>
  <c r="P21" i="70"/>
  <c r="P22" i="70"/>
  <c r="P23" i="70"/>
  <c r="P24" i="70"/>
  <c r="P25" i="70"/>
  <c r="P26" i="70"/>
  <c r="P27" i="70"/>
  <c r="P28" i="70"/>
  <c r="P29" i="70"/>
  <c r="P30" i="70"/>
  <c r="P31" i="70"/>
  <c r="P32" i="70"/>
  <c r="P33" i="70"/>
  <c r="P34" i="70"/>
  <c r="P35" i="70"/>
  <c r="P36" i="70"/>
  <c r="P37" i="70"/>
  <c r="P38" i="70"/>
  <c r="P39" i="70"/>
  <c r="P40" i="70"/>
  <c r="P41" i="70"/>
  <c r="P42" i="70"/>
  <c r="P43" i="70"/>
  <c r="P44" i="70"/>
  <c r="P45" i="70"/>
  <c r="P46" i="70"/>
  <c r="P47" i="70"/>
  <c r="P48" i="70"/>
  <c r="P49" i="70"/>
  <c r="P50" i="70"/>
  <c r="P51" i="70"/>
  <c r="P52" i="70"/>
  <c r="P53" i="70"/>
  <c r="P54" i="70"/>
  <c r="P55" i="70"/>
  <c r="P56" i="70"/>
  <c r="P57" i="70"/>
  <c r="P58" i="70"/>
  <c r="P59" i="70"/>
  <c r="P60" i="70"/>
  <c r="P61" i="70"/>
  <c r="P62" i="70"/>
  <c r="P63" i="70"/>
  <c r="P64" i="70"/>
  <c r="P65" i="70"/>
  <c r="P66" i="70"/>
  <c r="P67" i="70"/>
  <c r="P68" i="70"/>
  <c r="P69" i="70"/>
  <c r="P70" i="70"/>
  <c r="P71" i="70"/>
  <c r="P72" i="70"/>
  <c r="P73" i="70"/>
  <c r="P74" i="70"/>
  <c r="P75" i="70"/>
  <c r="P76" i="70"/>
  <c r="P77" i="70"/>
  <c r="P78" i="70"/>
  <c r="P79" i="70"/>
  <c r="P80" i="70"/>
  <c r="P81" i="70"/>
  <c r="P82" i="70"/>
  <c r="P83" i="70"/>
  <c r="P84" i="70"/>
  <c r="P85" i="70"/>
  <c r="P86" i="70"/>
  <c r="P87" i="70"/>
  <c r="P88" i="70"/>
  <c r="P89" i="70"/>
  <c r="P90" i="70"/>
  <c r="P91" i="70"/>
  <c r="P92" i="70"/>
  <c r="P93" i="70"/>
  <c r="P94" i="70"/>
  <c r="P95" i="70"/>
  <c r="P96" i="70"/>
  <c r="P97" i="70"/>
  <c r="P98" i="70"/>
  <c r="P99" i="70"/>
  <c r="P100" i="70"/>
  <c r="P101" i="70"/>
  <c r="P102" i="70"/>
  <c r="P103" i="70"/>
  <c r="P104" i="70"/>
  <c r="P105" i="70"/>
  <c r="P106" i="70"/>
  <c r="P107" i="70"/>
  <c r="P108" i="70"/>
  <c r="P109" i="70"/>
  <c r="P110" i="70"/>
  <c r="P111" i="70"/>
  <c r="P112" i="70"/>
  <c r="P113" i="70"/>
  <c r="P114" i="70"/>
  <c r="P115" i="70"/>
  <c r="P116" i="70"/>
  <c r="P117" i="70"/>
  <c r="P118" i="70"/>
  <c r="P119" i="70"/>
  <c r="P120" i="70"/>
  <c r="P121" i="70"/>
  <c r="P122" i="70"/>
  <c r="P123" i="70"/>
  <c r="P124" i="70"/>
  <c r="P125" i="70"/>
  <c r="P126" i="70"/>
  <c r="P127" i="70"/>
  <c r="P128" i="70"/>
  <c r="P129" i="70"/>
  <c r="P130" i="70"/>
  <c r="P131" i="70"/>
  <c r="P132" i="70"/>
  <c r="P133" i="70"/>
  <c r="P134" i="70"/>
  <c r="P135" i="70"/>
  <c r="P136" i="70"/>
  <c r="P137" i="70"/>
  <c r="P138" i="70"/>
  <c r="P139" i="70"/>
  <c r="P140" i="70"/>
  <c r="P141" i="70"/>
  <c r="P142" i="70"/>
  <c r="P143" i="70"/>
  <c r="P144" i="70"/>
  <c r="P145" i="70"/>
  <c r="P146" i="70"/>
  <c r="P147" i="70"/>
  <c r="P148" i="70"/>
  <c r="P149" i="70"/>
  <c r="P150" i="70"/>
  <c r="P151" i="70"/>
  <c r="P152" i="70"/>
  <c r="P153" i="70"/>
  <c r="P154" i="70"/>
  <c r="P155" i="70"/>
  <c r="P156" i="70"/>
  <c r="P157" i="70"/>
  <c r="P158" i="70"/>
  <c r="P159" i="70"/>
  <c r="P160" i="70"/>
  <c r="P161" i="70"/>
  <c r="N12" i="70"/>
  <c r="N13" i="70"/>
  <c r="N14" i="70"/>
  <c r="N15" i="70"/>
  <c r="N16" i="70"/>
  <c r="N17" i="70"/>
  <c r="N18" i="70"/>
  <c r="N19" i="70"/>
  <c r="N20" i="70"/>
  <c r="N21" i="70"/>
  <c r="N22" i="70"/>
  <c r="N23" i="70"/>
  <c r="N24" i="70"/>
  <c r="N25" i="70"/>
  <c r="N26" i="70"/>
  <c r="N27" i="70"/>
  <c r="N28" i="70"/>
  <c r="N29" i="70"/>
  <c r="N30" i="70"/>
  <c r="N31" i="70"/>
  <c r="N32" i="70"/>
  <c r="N33" i="70"/>
  <c r="N34" i="70"/>
  <c r="N35" i="70"/>
  <c r="N36" i="70"/>
  <c r="N37" i="70"/>
  <c r="N38" i="70"/>
  <c r="N39" i="70"/>
  <c r="N40" i="70"/>
  <c r="N41" i="70"/>
  <c r="N42" i="70"/>
  <c r="N43" i="70"/>
  <c r="N44" i="70"/>
  <c r="N45" i="70"/>
  <c r="N46" i="70"/>
  <c r="N47" i="70"/>
  <c r="N48" i="70"/>
  <c r="N49" i="70"/>
  <c r="N50" i="70"/>
  <c r="N51" i="70"/>
  <c r="N52" i="70"/>
  <c r="N53" i="70"/>
  <c r="N54" i="70"/>
  <c r="N55" i="70"/>
  <c r="N56" i="70"/>
  <c r="N57" i="70"/>
  <c r="N58" i="70"/>
  <c r="N59" i="70"/>
  <c r="N60" i="70"/>
  <c r="N61" i="70"/>
  <c r="N62" i="70"/>
  <c r="N63" i="70"/>
  <c r="N64" i="70"/>
  <c r="N65" i="70"/>
  <c r="N66" i="70"/>
  <c r="N67" i="70"/>
  <c r="N68" i="70"/>
  <c r="N69" i="70"/>
  <c r="N70" i="70"/>
  <c r="N71" i="70"/>
  <c r="N72" i="70"/>
  <c r="N73" i="70"/>
  <c r="N74" i="70"/>
  <c r="N75" i="70"/>
  <c r="N76" i="70"/>
  <c r="N77" i="70"/>
  <c r="N78" i="70"/>
  <c r="N79" i="70"/>
  <c r="N80" i="70"/>
  <c r="N81" i="70"/>
  <c r="N82" i="70"/>
  <c r="N83" i="70"/>
  <c r="N84" i="70"/>
  <c r="N85" i="70"/>
  <c r="N86" i="70"/>
  <c r="N87" i="70"/>
  <c r="N88" i="70"/>
  <c r="N89" i="70"/>
  <c r="N90" i="70"/>
  <c r="N91" i="70"/>
  <c r="N92" i="70"/>
  <c r="N93" i="70"/>
  <c r="N94" i="70"/>
  <c r="N95" i="70"/>
  <c r="N96" i="70"/>
  <c r="N97" i="70"/>
  <c r="N98" i="70"/>
  <c r="N99" i="70"/>
  <c r="N100" i="70"/>
  <c r="N101" i="70"/>
  <c r="N102" i="70"/>
  <c r="N103" i="70"/>
  <c r="N104" i="70"/>
  <c r="N105" i="70"/>
  <c r="N106" i="70"/>
  <c r="N107" i="70"/>
  <c r="N108" i="70"/>
  <c r="N109" i="70"/>
  <c r="N110" i="70"/>
  <c r="N111" i="70"/>
  <c r="N112" i="70"/>
  <c r="N113" i="70"/>
  <c r="N114" i="70"/>
  <c r="N115" i="70"/>
  <c r="N116" i="70"/>
  <c r="N117" i="70"/>
  <c r="N118" i="70"/>
  <c r="N119" i="70"/>
  <c r="N120" i="70"/>
  <c r="N121" i="70"/>
  <c r="N122" i="70"/>
  <c r="N123" i="70"/>
  <c r="N124" i="70"/>
  <c r="N125" i="70"/>
  <c r="N126" i="70"/>
  <c r="N127" i="70"/>
  <c r="N128" i="70"/>
  <c r="N129" i="70"/>
  <c r="N130" i="70"/>
  <c r="N131" i="70"/>
  <c r="N132" i="70"/>
  <c r="N133" i="70"/>
  <c r="N134" i="70"/>
  <c r="N135" i="70"/>
  <c r="N136" i="70"/>
  <c r="N137" i="70"/>
  <c r="N138" i="70"/>
  <c r="N139" i="70"/>
  <c r="N140" i="70"/>
  <c r="N141" i="70"/>
  <c r="N142" i="70"/>
  <c r="N143" i="70"/>
  <c r="N144" i="70"/>
  <c r="N145" i="70"/>
  <c r="N146" i="70"/>
  <c r="N147" i="70"/>
  <c r="N148" i="70"/>
  <c r="N149" i="70"/>
  <c r="N150" i="70"/>
  <c r="N151" i="70"/>
  <c r="N152" i="70"/>
  <c r="N153" i="70"/>
  <c r="N154" i="70"/>
  <c r="N155" i="70"/>
  <c r="N156" i="70"/>
  <c r="N157" i="70"/>
  <c r="N158" i="70"/>
  <c r="N159" i="70"/>
  <c r="N160" i="70"/>
  <c r="N161" i="70"/>
  <c r="N11" i="70"/>
  <c r="P11" i="70"/>
  <c r="C87" i="66"/>
  <c r="C92" i="66"/>
  <c r="C91" i="66"/>
  <c r="C90" i="66"/>
  <c r="C89" i="66"/>
  <c r="C88" i="66"/>
  <c r="D81" i="71" l="1"/>
  <c r="B5" i="71" s="1"/>
  <c r="B6" i="71" s="1"/>
  <c r="B8" i="71" s="1"/>
  <c r="C27" i="15"/>
  <c r="G18" i="15"/>
  <c r="G19" i="15"/>
  <c r="G20" i="15"/>
  <c r="G21" i="15"/>
  <c r="G22" i="15"/>
  <c r="G17" i="15"/>
  <c r="A564" i="20"/>
  <c r="C96" i="14"/>
  <c r="C95" i="14"/>
  <c r="C94" i="14"/>
  <c r="C92" i="14"/>
  <c r="C91" i="14"/>
  <c r="C90" i="14"/>
  <c r="F21" i="11"/>
  <c r="E40" i="10" l="1"/>
  <c r="C93" i="14"/>
  <c r="C89" i="14"/>
  <c r="B20" i="11"/>
  <c r="D21" i="11" l="1"/>
  <c r="F11" i="11"/>
  <c r="D11" i="11"/>
  <c r="B11" i="11"/>
  <c r="F20" i="11"/>
  <c r="D20" i="11"/>
  <c r="F10" i="11"/>
  <c r="D10" i="11"/>
  <c r="B10" i="11"/>
  <c r="E71" i="14"/>
  <c r="D71" i="14"/>
  <c r="C71" i="14"/>
  <c r="E70" i="14"/>
  <c r="D70" i="14"/>
  <c r="C70" i="14"/>
  <c r="F35" i="64"/>
  <c r="E35" i="64"/>
  <c r="D35" i="64"/>
  <c r="B56" i="57"/>
  <c r="D74" i="57" s="1"/>
  <c r="B52" i="57"/>
  <c r="B49" i="57"/>
  <c r="B45" i="57"/>
  <c r="B43" i="57"/>
  <c r="B41" i="57"/>
  <c r="B34" i="2"/>
  <c r="C61" i="2" s="1"/>
  <c r="B32" i="2"/>
  <c r="B16" i="2"/>
  <c r="B17" i="2" s="1"/>
  <c r="C41" i="2" s="1"/>
  <c r="C11" i="45"/>
  <c r="C10" i="45"/>
  <c r="D10" i="45"/>
  <c r="D11" i="45"/>
  <c r="W21" i="15" a="1"/>
  <c r="W21" i="15" s="1"/>
  <c r="H29" i="10"/>
  <c r="W12" i="15" a="1"/>
  <c r="W12" i="15" s="1"/>
  <c r="AI10" i="70"/>
  <c r="AJ10" i="70"/>
  <c r="AK10" i="70"/>
  <c r="AL10" i="70"/>
  <c r="AM10" i="70"/>
  <c r="AN10" i="70"/>
  <c r="AO10" i="70"/>
  <c r="AP10" i="70"/>
  <c r="AQ10" i="70"/>
  <c r="AR10" i="70"/>
  <c r="AS10" i="70"/>
  <c r="AT10" i="70"/>
  <c r="AU10" i="70"/>
  <c r="AV10" i="70"/>
  <c r="AW10" i="70"/>
  <c r="AX10" i="70"/>
  <c r="AY10" i="70"/>
  <c r="AZ10" i="70"/>
  <c r="BA10" i="70"/>
  <c r="BB10" i="70"/>
  <c r="BC10" i="70"/>
  <c r="BD10" i="70"/>
  <c r="BE10" i="70"/>
  <c r="BF10" i="70"/>
  <c r="BG10" i="70"/>
  <c r="BH10" i="70"/>
  <c r="BI10" i="70"/>
  <c r="BJ10" i="70"/>
  <c r="BK10" i="70"/>
  <c r="BL10" i="70"/>
  <c r="BM10" i="70"/>
  <c r="BN10" i="70"/>
  <c r="BO10" i="70"/>
  <c r="BP10" i="70"/>
  <c r="BQ10" i="70"/>
  <c r="BR10" i="70"/>
  <c r="BS10" i="70"/>
  <c r="BT10" i="70"/>
  <c r="BU10" i="70"/>
  <c r="BV10" i="70"/>
  <c r="BW10" i="70"/>
  <c r="BX10" i="70"/>
  <c r="BY10" i="70"/>
  <c r="BZ10" i="70"/>
  <c r="CA10" i="70"/>
  <c r="CB10" i="70"/>
  <c r="CC10" i="70"/>
  <c r="CD10" i="70"/>
  <c r="CE10" i="70"/>
  <c r="CF10" i="70"/>
  <c r="CG10" i="70"/>
  <c r="CH10" i="70"/>
  <c r="CI10" i="70"/>
  <c r="CJ10" i="70"/>
  <c r="CK10" i="70"/>
  <c r="CL10" i="70"/>
  <c r="CM10" i="70"/>
  <c r="CN10" i="70"/>
  <c r="CO10" i="70"/>
  <c r="CP10" i="70"/>
  <c r="CQ10" i="70"/>
  <c r="CR10" i="70"/>
  <c r="CS10" i="70"/>
  <c r="CT10" i="70"/>
  <c r="CU10" i="70"/>
  <c r="CV10" i="70"/>
  <c r="CW10" i="70"/>
  <c r="CX10" i="70"/>
  <c r="CY10" i="70"/>
  <c r="CZ10" i="70"/>
  <c r="DA10" i="70"/>
  <c r="DB10" i="70"/>
  <c r="DC10" i="70"/>
  <c r="DD10" i="70"/>
  <c r="DE10" i="70"/>
  <c r="DF10" i="70"/>
  <c r="DG10" i="70"/>
  <c r="DH10" i="70"/>
  <c r="DI10" i="70"/>
  <c r="DJ10" i="70"/>
  <c r="DK10" i="70"/>
  <c r="DL10" i="70"/>
  <c r="DM10" i="70"/>
  <c r="DN10" i="70"/>
  <c r="DO10" i="70"/>
  <c r="DP10" i="70"/>
  <c r="DQ10" i="70"/>
  <c r="DR10" i="70"/>
  <c r="DS10" i="70"/>
  <c r="DT10" i="70"/>
  <c r="DU10" i="70"/>
  <c r="DV10" i="70"/>
  <c r="DW10" i="70"/>
  <c r="DX10" i="70"/>
  <c r="DY10" i="70"/>
  <c r="DZ10" i="70"/>
  <c r="EA10" i="70"/>
  <c r="EB10" i="70"/>
  <c r="EC10" i="70"/>
  <c r="ED10" i="70"/>
  <c r="EE10" i="70"/>
  <c r="EF10" i="70"/>
  <c r="EG10" i="70"/>
  <c r="EH10" i="70"/>
  <c r="EI10" i="70"/>
  <c r="EJ10" i="70"/>
  <c r="EK10" i="70"/>
  <c r="EL10" i="70"/>
  <c r="EM10" i="70"/>
  <c r="EN10" i="70"/>
  <c r="EO10" i="70"/>
  <c r="EP10" i="70"/>
  <c r="EQ10" i="70"/>
  <c r="ER10" i="70"/>
  <c r="ES10" i="70"/>
  <c r="ET10" i="70"/>
  <c r="EU10" i="70"/>
  <c r="EV10" i="70"/>
  <c r="EW10" i="70"/>
  <c r="EX10" i="70"/>
  <c r="EY10" i="70"/>
  <c r="EZ10" i="70"/>
  <c r="FA10" i="70"/>
  <c r="FB10" i="70"/>
  <c r="FC10" i="70"/>
  <c r="FD10" i="70"/>
  <c r="FE10" i="70"/>
  <c r="FF10" i="70"/>
  <c r="FG10" i="70"/>
  <c r="FH10" i="70"/>
  <c r="FI10" i="70"/>
  <c r="FJ10" i="70"/>
  <c r="FK10" i="70"/>
  <c r="FL10" i="70"/>
  <c r="FM10" i="70"/>
  <c r="FN10" i="70"/>
  <c r="FO10" i="70"/>
  <c r="FP10" i="70"/>
  <c r="FQ10" i="70"/>
  <c r="FR10" i="70"/>
  <c r="FS10" i="70"/>
  <c r="FT10" i="70"/>
  <c r="FU10" i="70"/>
  <c r="FV10" i="70"/>
  <c r="FW10" i="70"/>
  <c r="FX10" i="70"/>
  <c r="FY10" i="70"/>
  <c r="FZ10" i="70"/>
  <c r="GA10" i="70"/>
  <c r="GB10" i="70"/>
  <c r="GC10" i="70"/>
  <c r="U11" i="70"/>
  <c r="V11" i="70"/>
  <c r="X11" i="70"/>
  <c r="Y11" i="70"/>
  <c r="Z11" i="70"/>
  <c r="AA11" i="70"/>
  <c r="AI11" i="70"/>
  <c r="AJ11" i="70"/>
  <c r="AK11" i="70"/>
  <c r="AL11" i="70"/>
  <c r="AM11" i="70"/>
  <c r="AN11" i="70"/>
  <c r="AO11" i="70"/>
  <c r="AP11" i="70"/>
  <c r="AQ11" i="70"/>
  <c r="AR11" i="70"/>
  <c r="AS11" i="70"/>
  <c r="AT11" i="70"/>
  <c r="AU11" i="70"/>
  <c r="AV11" i="70"/>
  <c r="AW11" i="70"/>
  <c r="AX11" i="70"/>
  <c r="AY11" i="70"/>
  <c r="AZ11" i="70"/>
  <c r="BA11" i="70"/>
  <c r="BB11" i="70"/>
  <c r="BC11" i="70"/>
  <c r="BD11" i="70"/>
  <c r="BE11" i="70"/>
  <c r="BF11" i="70"/>
  <c r="BG11" i="70"/>
  <c r="BH11" i="70"/>
  <c r="BI11" i="70"/>
  <c r="BJ11" i="70"/>
  <c r="BK11" i="70"/>
  <c r="BL11" i="70"/>
  <c r="BM11" i="70"/>
  <c r="BN11" i="70"/>
  <c r="BO11" i="70"/>
  <c r="BP11" i="70"/>
  <c r="BQ11" i="70"/>
  <c r="BR11" i="70"/>
  <c r="BS11" i="70"/>
  <c r="BT11" i="70"/>
  <c r="BU11" i="70"/>
  <c r="BV11" i="70"/>
  <c r="BW11" i="70"/>
  <c r="BX11" i="70"/>
  <c r="BY11" i="70"/>
  <c r="BZ11" i="70"/>
  <c r="CA11" i="70"/>
  <c r="CB11" i="70"/>
  <c r="CC11" i="70"/>
  <c r="CD11" i="70"/>
  <c r="CE11" i="70"/>
  <c r="CF11" i="70"/>
  <c r="CG11" i="70"/>
  <c r="CH11" i="70"/>
  <c r="CI11" i="70"/>
  <c r="CJ11" i="70"/>
  <c r="CK11" i="70"/>
  <c r="CL11" i="70"/>
  <c r="CM11" i="70"/>
  <c r="CN11" i="70"/>
  <c r="CO11" i="70"/>
  <c r="CP11" i="70"/>
  <c r="CQ11" i="70"/>
  <c r="CR11" i="70"/>
  <c r="CS11" i="70"/>
  <c r="CT11" i="70"/>
  <c r="CU11" i="70"/>
  <c r="CV11" i="70"/>
  <c r="CW11" i="70"/>
  <c r="CX11" i="70"/>
  <c r="CY11" i="70"/>
  <c r="CZ11" i="70"/>
  <c r="DA11" i="70"/>
  <c r="DB11" i="70"/>
  <c r="DC11" i="70"/>
  <c r="DD11" i="70"/>
  <c r="DE11" i="70"/>
  <c r="DF11" i="70"/>
  <c r="DG11" i="70"/>
  <c r="DH11" i="70"/>
  <c r="DI11" i="70"/>
  <c r="DJ11" i="70"/>
  <c r="DK11" i="70"/>
  <c r="DL11" i="70"/>
  <c r="DM11" i="70"/>
  <c r="DN11" i="70"/>
  <c r="DO11" i="70"/>
  <c r="DP11" i="70"/>
  <c r="DQ11" i="70"/>
  <c r="DR11" i="70"/>
  <c r="DS11" i="70"/>
  <c r="DT11" i="70"/>
  <c r="DU11" i="70"/>
  <c r="DV11" i="70"/>
  <c r="DW11" i="70"/>
  <c r="DX11" i="70"/>
  <c r="DY11" i="70"/>
  <c r="DZ11" i="70"/>
  <c r="EA11" i="70"/>
  <c r="EB11" i="70"/>
  <c r="EC11" i="70"/>
  <c r="ED11" i="70"/>
  <c r="EE11" i="70"/>
  <c r="EF11" i="70"/>
  <c r="EG11" i="70"/>
  <c r="EH11" i="70"/>
  <c r="EI11" i="70"/>
  <c r="EJ11" i="70"/>
  <c r="EK11" i="70"/>
  <c r="EL11" i="70"/>
  <c r="EM11" i="70"/>
  <c r="EN11" i="70"/>
  <c r="EO11" i="70"/>
  <c r="EP11" i="70"/>
  <c r="EQ11" i="70"/>
  <c r="ER11" i="70"/>
  <c r="ES11" i="70"/>
  <c r="ET11" i="70"/>
  <c r="EU11" i="70"/>
  <c r="EV11" i="70"/>
  <c r="EW11" i="70"/>
  <c r="EX11" i="70"/>
  <c r="EY11" i="70"/>
  <c r="EZ11" i="70"/>
  <c r="FA11" i="70"/>
  <c r="FB11" i="70"/>
  <c r="FC11" i="70"/>
  <c r="FD11" i="70"/>
  <c r="FE11" i="70"/>
  <c r="FF11" i="70"/>
  <c r="FG11" i="70"/>
  <c r="FH11" i="70"/>
  <c r="FI11" i="70"/>
  <c r="FJ11" i="70"/>
  <c r="FK11" i="70"/>
  <c r="FL11" i="70"/>
  <c r="FM11" i="70"/>
  <c r="FN11" i="70"/>
  <c r="FO11" i="70"/>
  <c r="FP11" i="70"/>
  <c r="FQ11" i="70"/>
  <c r="FR11" i="70"/>
  <c r="FS11" i="70"/>
  <c r="FT11" i="70"/>
  <c r="FU11" i="70"/>
  <c r="FV11" i="70"/>
  <c r="FW11" i="70"/>
  <c r="FX11" i="70"/>
  <c r="FY11" i="70"/>
  <c r="FZ11" i="70"/>
  <c r="GA11" i="70"/>
  <c r="GB11" i="70"/>
  <c r="GC11" i="70"/>
  <c r="U12" i="70"/>
  <c r="V12" i="70"/>
  <c r="X12" i="70"/>
  <c r="Y12" i="70"/>
  <c r="Z12" i="70"/>
  <c r="AA12" i="70"/>
  <c r="AI12" i="70"/>
  <c r="AJ12" i="70"/>
  <c r="AK12" i="70"/>
  <c r="AL12" i="70"/>
  <c r="AM12" i="70"/>
  <c r="AN12" i="70"/>
  <c r="AO12" i="70"/>
  <c r="AP12" i="70"/>
  <c r="AQ12" i="70"/>
  <c r="AR12" i="70"/>
  <c r="AS12" i="70"/>
  <c r="AT12" i="70"/>
  <c r="AU12" i="70"/>
  <c r="AV12" i="70"/>
  <c r="AW12" i="70"/>
  <c r="AX12" i="70"/>
  <c r="AY12" i="70"/>
  <c r="AZ12" i="70"/>
  <c r="BA12" i="70"/>
  <c r="BB12" i="70"/>
  <c r="BC12" i="70"/>
  <c r="BD12" i="70"/>
  <c r="BE12" i="70"/>
  <c r="BF12" i="70"/>
  <c r="BG12" i="70"/>
  <c r="BH12" i="70"/>
  <c r="BI12" i="70"/>
  <c r="BJ12" i="70"/>
  <c r="BK12" i="70"/>
  <c r="BL12" i="70"/>
  <c r="BM12" i="70"/>
  <c r="BN12" i="70"/>
  <c r="BO12" i="70"/>
  <c r="BP12" i="70"/>
  <c r="BQ12" i="70"/>
  <c r="BR12" i="70"/>
  <c r="BS12" i="70"/>
  <c r="BT12" i="70"/>
  <c r="BU12" i="70"/>
  <c r="BV12" i="70"/>
  <c r="BW12" i="70"/>
  <c r="BX12" i="70"/>
  <c r="BY12" i="70"/>
  <c r="BZ12" i="70"/>
  <c r="CA12" i="70"/>
  <c r="CB12" i="70"/>
  <c r="CC12" i="70"/>
  <c r="CD12" i="70"/>
  <c r="CE12" i="70"/>
  <c r="CF12" i="70"/>
  <c r="CG12" i="70"/>
  <c r="CH12" i="70"/>
  <c r="CI12" i="70"/>
  <c r="CJ12" i="70"/>
  <c r="CK12" i="70"/>
  <c r="CL12" i="70"/>
  <c r="CM12" i="70"/>
  <c r="CN12" i="70"/>
  <c r="CO12" i="70"/>
  <c r="CP12" i="70"/>
  <c r="CQ12" i="70"/>
  <c r="CR12" i="70"/>
  <c r="CS12" i="70"/>
  <c r="CT12" i="70"/>
  <c r="CU12" i="70"/>
  <c r="CV12" i="70"/>
  <c r="CW12" i="70"/>
  <c r="CX12" i="70"/>
  <c r="CY12" i="70"/>
  <c r="CZ12" i="70"/>
  <c r="DA12" i="70"/>
  <c r="DB12" i="70"/>
  <c r="DC12" i="70"/>
  <c r="DD12" i="70"/>
  <c r="DE12" i="70"/>
  <c r="DF12" i="70"/>
  <c r="DG12" i="70"/>
  <c r="DH12" i="70"/>
  <c r="DI12" i="70"/>
  <c r="DJ12" i="70"/>
  <c r="DK12" i="70"/>
  <c r="DL12" i="70"/>
  <c r="DM12" i="70"/>
  <c r="DN12" i="70"/>
  <c r="DO12" i="70"/>
  <c r="DP12" i="70"/>
  <c r="DQ12" i="70"/>
  <c r="DR12" i="70"/>
  <c r="DS12" i="70"/>
  <c r="DT12" i="70"/>
  <c r="DU12" i="70"/>
  <c r="DV12" i="70"/>
  <c r="DW12" i="70"/>
  <c r="DX12" i="70"/>
  <c r="DY12" i="70"/>
  <c r="DZ12" i="70"/>
  <c r="EA12" i="70"/>
  <c r="EB12" i="70"/>
  <c r="EC12" i="70"/>
  <c r="ED12" i="70"/>
  <c r="EE12" i="70"/>
  <c r="EF12" i="70"/>
  <c r="EG12" i="70"/>
  <c r="EH12" i="70"/>
  <c r="EI12" i="70"/>
  <c r="EJ12" i="70"/>
  <c r="EK12" i="70"/>
  <c r="EL12" i="70"/>
  <c r="EM12" i="70"/>
  <c r="EN12" i="70"/>
  <c r="EO12" i="70"/>
  <c r="EP12" i="70"/>
  <c r="EQ12" i="70"/>
  <c r="ER12" i="70"/>
  <c r="ES12" i="70"/>
  <c r="ET12" i="70"/>
  <c r="EU12" i="70"/>
  <c r="EV12" i="70"/>
  <c r="EW12" i="70"/>
  <c r="EX12" i="70"/>
  <c r="EY12" i="70"/>
  <c r="EZ12" i="70"/>
  <c r="FA12" i="70"/>
  <c r="FB12" i="70"/>
  <c r="FC12" i="70"/>
  <c r="FD12" i="70"/>
  <c r="FE12" i="70"/>
  <c r="FF12" i="70"/>
  <c r="FG12" i="70"/>
  <c r="FH12" i="70"/>
  <c r="FI12" i="70"/>
  <c r="FJ12" i="70"/>
  <c r="FK12" i="70"/>
  <c r="FL12" i="70"/>
  <c r="FM12" i="70"/>
  <c r="FN12" i="70"/>
  <c r="FO12" i="70"/>
  <c r="FP12" i="70"/>
  <c r="FQ12" i="70"/>
  <c r="FR12" i="70"/>
  <c r="FS12" i="70"/>
  <c r="FT12" i="70"/>
  <c r="FU12" i="70"/>
  <c r="FV12" i="70"/>
  <c r="FW12" i="70"/>
  <c r="FX12" i="70"/>
  <c r="FY12" i="70"/>
  <c r="FZ12" i="70"/>
  <c r="GA12" i="70"/>
  <c r="GB12" i="70"/>
  <c r="GC12" i="70"/>
  <c r="U13" i="70"/>
  <c r="V13" i="70"/>
  <c r="X13" i="70"/>
  <c r="Y13" i="70"/>
  <c r="Z13" i="70"/>
  <c r="AA13" i="70"/>
  <c r="AI13" i="70"/>
  <c r="AJ13" i="70"/>
  <c r="AK13" i="70"/>
  <c r="AL13" i="70"/>
  <c r="AM13" i="70"/>
  <c r="AN13" i="70"/>
  <c r="AO13" i="70"/>
  <c r="AP13" i="70"/>
  <c r="AQ13" i="70"/>
  <c r="AR13" i="70"/>
  <c r="AS13" i="70"/>
  <c r="AT13" i="70"/>
  <c r="AU13" i="70"/>
  <c r="AV13" i="70"/>
  <c r="AW13" i="70"/>
  <c r="AX13" i="70"/>
  <c r="AY13" i="70"/>
  <c r="AZ13" i="70"/>
  <c r="BA13" i="70"/>
  <c r="BB13" i="70"/>
  <c r="BC13" i="70"/>
  <c r="BD13" i="70"/>
  <c r="BE13" i="70"/>
  <c r="BF13" i="70"/>
  <c r="BG13" i="70"/>
  <c r="BH13" i="70"/>
  <c r="BI13" i="70"/>
  <c r="BJ13" i="70"/>
  <c r="BK13" i="70"/>
  <c r="BL13" i="70"/>
  <c r="BM13" i="70"/>
  <c r="BN13" i="70"/>
  <c r="BO13" i="70"/>
  <c r="BP13" i="70"/>
  <c r="BQ13" i="70"/>
  <c r="BR13" i="70"/>
  <c r="BS13" i="70"/>
  <c r="BT13" i="70"/>
  <c r="BU13" i="70"/>
  <c r="BV13" i="70"/>
  <c r="BW13" i="70"/>
  <c r="BX13" i="70"/>
  <c r="BY13" i="70"/>
  <c r="BZ13" i="70"/>
  <c r="CA13" i="70"/>
  <c r="CB13" i="70"/>
  <c r="CC13" i="70"/>
  <c r="CD13" i="70"/>
  <c r="CE13" i="70"/>
  <c r="CF13" i="70"/>
  <c r="CG13" i="70"/>
  <c r="CH13" i="70"/>
  <c r="CI13" i="70"/>
  <c r="CJ13" i="70"/>
  <c r="CK13" i="70"/>
  <c r="CL13" i="70"/>
  <c r="CM13" i="70"/>
  <c r="CN13" i="70"/>
  <c r="CO13" i="70"/>
  <c r="CP13" i="70"/>
  <c r="CQ13" i="70"/>
  <c r="CR13" i="70"/>
  <c r="CS13" i="70"/>
  <c r="CT13" i="70"/>
  <c r="CU13" i="70"/>
  <c r="CV13" i="70"/>
  <c r="CW13" i="70"/>
  <c r="CX13" i="70"/>
  <c r="CY13" i="70"/>
  <c r="CZ13" i="70"/>
  <c r="DA13" i="70"/>
  <c r="DB13" i="70"/>
  <c r="DC13" i="70"/>
  <c r="DD13" i="70"/>
  <c r="DE13" i="70"/>
  <c r="DF13" i="70"/>
  <c r="DG13" i="70"/>
  <c r="DH13" i="70"/>
  <c r="DI13" i="70"/>
  <c r="DJ13" i="70"/>
  <c r="DK13" i="70"/>
  <c r="DL13" i="70"/>
  <c r="DM13" i="70"/>
  <c r="DN13" i="70"/>
  <c r="DO13" i="70"/>
  <c r="DP13" i="70"/>
  <c r="DQ13" i="70"/>
  <c r="DR13" i="70"/>
  <c r="DS13" i="70"/>
  <c r="DT13" i="70"/>
  <c r="DU13" i="70"/>
  <c r="DV13" i="70"/>
  <c r="DW13" i="70"/>
  <c r="DX13" i="70"/>
  <c r="DY13" i="70"/>
  <c r="DZ13" i="70"/>
  <c r="EA13" i="70"/>
  <c r="EB13" i="70"/>
  <c r="EC13" i="70"/>
  <c r="ED13" i="70"/>
  <c r="EE13" i="70"/>
  <c r="EF13" i="70"/>
  <c r="EG13" i="70"/>
  <c r="EH13" i="70"/>
  <c r="EI13" i="70"/>
  <c r="EJ13" i="70"/>
  <c r="EK13" i="70"/>
  <c r="EL13" i="70"/>
  <c r="EM13" i="70"/>
  <c r="EN13" i="70"/>
  <c r="EO13" i="70"/>
  <c r="EP13" i="70"/>
  <c r="EQ13" i="70"/>
  <c r="ER13" i="70"/>
  <c r="ES13" i="70"/>
  <c r="ET13" i="70"/>
  <c r="EU13" i="70"/>
  <c r="EV13" i="70"/>
  <c r="EW13" i="70"/>
  <c r="EX13" i="70"/>
  <c r="EY13" i="70"/>
  <c r="EZ13" i="70"/>
  <c r="FA13" i="70"/>
  <c r="FB13" i="70"/>
  <c r="FC13" i="70"/>
  <c r="FD13" i="70"/>
  <c r="FE13" i="70"/>
  <c r="FF13" i="70"/>
  <c r="FG13" i="70"/>
  <c r="FH13" i="70"/>
  <c r="FI13" i="70"/>
  <c r="FJ13" i="70"/>
  <c r="FK13" i="70"/>
  <c r="FL13" i="70"/>
  <c r="FM13" i="70"/>
  <c r="FN13" i="70"/>
  <c r="FO13" i="70"/>
  <c r="FP13" i="70"/>
  <c r="FQ13" i="70"/>
  <c r="FR13" i="70"/>
  <c r="FS13" i="70"/>
  <c r="FT13" i="70"/>
  <c r="FU13" i="70"/>
  <c r="FV13" i="70"/>
  <c r="FW13" i="70"/>
  <c r="FX13" i="70"/>
  <c r="FY13" i="70"/>
  <c r="FZ13" i="70"/>
  <c r="GA13" i="70"/>
  <c r="GB13" i="70"/>
  <c r="GC13" i="70"/>
  <c r="U14" i="70"/>
  <c r="V14" i="70"/>
  <c r="X14" i="70"/>
  <c r="Y14" i="70"/>
  <c r="Z14" i="70"/>
  <c r="AA14" i="70"/>
  <c r="AI14" i="70"/>
  <c r="AJ14" i="70"/>
  <c r="AK14" i="70"/>
  <c r="AL14" i="70"/>
  <c r="AM14" i="70"/>
  <c r="AN14" i="70"/>
  <c r="AO14" i="70"/>
  <c r="AP14" i="70"/>
  <c r="AQ14" i="70"/>
  <c r="AR14" i="70"/>
  <c r="AS14" i="70"/>
  <c r="AT14" i="70"/>
  <c r="AU14" i="70"/>
  <c r="AV14" i="70"/>
  <c r="AW14" i="70"/>
  <c r="AX14" i="70"/>
  <c r="AY14" i="70"/>
  <c r="AZ14" i="70"/>
  <c r="BA14" i="70"/>
  <c r="BB14" i="70"/>
  <c r="BC14" i="70"/>
  <c r="BD14" i="70"/>
  <c r="BE14" i="70"/>
  <c r="BF14" i="70"/>
  <c r="BG14" i="70"/>
  <c r="BH14" i="70"/>
  <c r="BI14" i="70"/>
  <c r="BJ14" i="70"/>
  <c r="BK14" i="70"/>
  <c r="BL14" i="70"/>
  <c r="BM14" i="70"/>
  <c r="BN14" i="70"/>
  <c r="BO14" i="70"/>
  <c r="BP14" i="70"/>
  <c r="BQ14" i="70"/>
  <c r="BR14" i="70"/>
  <c r="BS14" i="70"/>
  <c r="BT14" i="70"/>
  <c r="BU14" i="70"/>
  <c r="BV14" i="70"/>
  <c r="BW14" i="70"/>
  <c r="BX14" i="70"/>
  <c r="BY14" i="70"/>
  <c r="BZ14" i="70"/>
  <c r="CA14" i="70"/>
  <c r="CB14" i="70"/>
  <c r="CC14" i="70"/>
  <c r="CD14" i="70"/>
  <c r="CE14" i="70"/>
  <c r="CF14" i="70"/>
  <c r="CG14" i="70"/>
  <c r="CH14" i="70"/>
  <c r="CI14" i="70"/>
  <c r="CJ14" i="70"/>
  <c r="CK14" i="70"/>
  <c r="CL14" i="70"/>
  <c r="CM14" i="70"/>
  <c r="CN14" i="70"/>
  <c r="CO14" i="70"/>
  <c r="CP14" i="70"/>
  <c r="CQ14" i="70"/>
  <c r="CR14" i="70"/>
  <c r="CS14" i="70"/>
  <c r="CT14" i="70"/>
  <c r="CU14" i="70"/>
  <c r="CV14" i="70"/>
  <c r="CW14" i="70"/>
  <c r="CX14" i="70"/>
  <c r="CY14" i="70"/>
  <c r="CZ14" i="70"/>
  <c r="DA14" i="70"/>
  <c r="DB14" i="70"/>
  <c r="DC14" i="70"/>
  <c r="DD14" i="70"/>
  <c r="DE14" i="70"/>
  <c r="DF14" i="70"/>
  <c r="DG14" i="70"/>
  <c r="DH14" i="70"/>
  <c r="DI14" i="70"/>
  <c r="DJ14" i="70"/>
  <c r="DK14" i="70"/>
  <c r="DL14" i="70"/>
  <c r="DM14" i="70"/>
  <c r="DN14" i="70"/>
  <c r="DO14" i="70"/>
  <c r="DP14" i="70"/>
  <c r="DQ14" i="70"/>
  <c r="DR14" i="70"/>
  <c r="DS14" i="70"/>
  <c r="DT14" i="70"/>
  <c r="DU14" i="70"/>
  <c r="DV14" i="70"/>
  <c r="DW14" i="70"/>
  <c r="DX14" i="70"/>
  <c r="DY14" i="70"/>
  <c r="DZ14" i="70"/>
  <c r="EA14" i="70"/>
  <c r="EB14" i="70"/>
  <c r="EC14" i="70"/>
  <c r="ED14" i="70"/>
  <c r="EE14" i="70"/>
  <c r="EF14" i="70"/>
  <c r="EG14" i="70"/>
  <c r="EH14" i="70"/>
  <c r="EI14" i="70"/>
  <c r="EJ14" i="70"/>
  <c r="EK14" i="70"/>
  <c r="EL14" i="70"/>
  <c r="EM14" i="70"/>
  <c r="EN14" i="70"/>
  <c r="EO14" i="70"/>
  <c r="EP14" i="70"/>
  <c r="EQ14" i="70"/>
  <c r="ER14" i="70"/>
  <c r="ES14" i="70"/>
  <c r="ET14" i="70"/>
  <c r="EU14" i="70"/>
  <c r="EV14" i="70"/>
  <c r="EW14" i="70"/>
  <c r="EX14" i="70"/>
  <c r="EY14" i="70"/>
  <c r="EZ14" i="70"/>
  <c r="FA14" i="70"/>
  <c r="FB14" i="70"/>
  <c r="FC14" i="70"/>
  <c r="FD14" i="70"/>
  <c r="FE14" i="70"/>
  <c r="FF14" i="70"/>
  <c r="FG14" i="70"/>
  <c r="FH14" i="70"/>
  <c r="FI14" i="70"/>
  <c r="FJ14" i="70"/>
  <c r="FK14" i="70"/>
  <c r="FL14" i="70"/>
  <c r="FM14" i="70"/>
  <c r="FN14" i="70"/>
  <c r="FO14" i="70"/>
  <c r="FP14" i="70"/>
  <c r="FQ14" i="70"/>
  <c r="FR14" i="70"/>
  <c r="FS14" i="70"/>
  <c r="FT14" i="70"/>
  <c r="FU14" i="70"/>
  <c r="FV14" i="70"/>
  <c r="FW14" i="70"/>
  <c r="FX14" i="70"/>
  <c r="FY14" i="70"/>
  <c r="FZ14" i="70"/>
  <c r="GA14" i="70"/>
  <c r="GB14" i="70"/>
  <c r="GC14" i="70"/>
  <c r="U15" i="70"/>
  <c r="V15" i="70"/>
  <c r="X15" i="70"/>
  <c r="Y15" i="70"/>
  <c r="Z15" i="70"/>
  <c r="AA15" i="70"/>
  <c r="AI15" i="70"/>
  <c r="AJ15" i="70"/>
  <c r="AK15" i="70"/>
  <c r="AL15" i="70"/>
  <c r="AM15" i="70"/>
  <c r="AN15" i="70"/>
  <c r="AO15" i="70"/>
  <c r="AP15" i="70"/>
  <c r="AQ15" i="70"/>
  <c r="AR15" i="70"/>
  <c r="AS15" i="70"/>
  <c r="AT15" i="70"/>
  <c r="AU15" i="70"/>
  <c r="AV15" i="70"/>
  <c r="AW15" i="70"/>
  <c r="AX15" i="70"/>
  <c r="AY15" i="70"/>
  <c r="AZ15" i="70"/>
  <c r="BA15" i="70"/>
  <c r="BB15" i="70"/>
  <c r="BC15" i="70"/>
  <c r="BD15" i="70"/>
  <c r="BE15" i="70"/>
  <c r="BF15" i="70"/>
  <c r="BG15" i="70"/>
  <c r="BH15" i="70"/>
  <c r="BI15" i="70"/>
  <c r="BJ15" i="70"/>
  <c r="BK15" i="70"/>
  <c r="BL15" i="70"/>
  <c r="BM15" i="70"/>
  <c r="BN15" i="70"/>
  <c r="BO15" i="70"/>
  <c r="BP15" i="70"/>
  <c r="BQ15" i="70"/>
  <c r="BR15" i="70"/>
  <c r="BS15" i="70"/>
  <c r="BT15" i="70"/>
  <c r="BU15" i="70"/>
  <c r="BV15" i="70"/>
  <c r="BW15" i="70"/>
  <c r="BX15" i="70"/>
  <c r="BY15" i="70"/>
  <c r="BZ15" i="70"/>
  <c r="CA15" i="70"/>
  <c r="CB15" i="70"/>
  <c r="CC15" i="70"/>
  <c r="CD15" i="70"/>
  <c r="CE15" i="70"/>
  <c r="CF15" i="70"/>
  <c r="CG15" i="70"/>
  <c r="CH15" i="70"/>
  <c r="CI15" i="70"/>
  <c r="CJ15" i="70"/>
  <c r="CK15" i="70"/>
  <c r="CL15" i="70"/>
  <c r="CM15" i="70"/>
  <c r="CN15" i="70"/>
  <c r="CO15" i="70"/>
  <c r="CP15" i="70"/>
  <c r="CQ15" i="70"/>
  <c r="CR15" i="70"/>
  <c r="CS15" i="70"/>
  <c r="CT15" i="70"/>
  <c r="CU15" i="70"/>
  <c r="CV15" i="70"/>
  <c r="CW15" i="70"/>
  <c r="CX15" i="70"/>
  <c r="CY15" i="70"/>
  <c r="CZ15" i="70"/>
  <c r="DA15" i="70"/>
  <c r="DB15" i="70"/>
  <c r="DC15" i="70"/>
  <c r="DD15" i="70"/>
  <c r="DE15" i="70"/>
  <c r="DF15" i="70"/>
  <c r="DG15" i="70"/>
  <c r="DH15" i="70"/>
  <c r="DI15" i="70"/>
  <c r="DJ15" i="70"/>
  <c r="DK15" i="70"/>
  <c r="DL15" i="70"/>
  <c r="DM15" i="70"/>
  <c r="DN15" i="70"/>
  <c r="DO15" i="70"/>
  <c r="DP15" i="70"/>
  <c r="DQ15" i="70"/>
  <c r="DR15" i="70"/>
  <c r="DS15" i="70"/>
  <c r="DT15" i="70"/>
  <c r="DU15" i="70"/>
  <c r="DV15" i="70"/>
  <c r="DW15" i="70"/>
  <c r="DX15" i="70"/>
  <c r="DY15" i="70"/>
  <c r="DZ15" i="70"/>
  <c r="EA15" i="70"/>
  <c r="EB15" i="70"/>
  <c r="EC15" i="70"/>
  <c r="ED15" i="70"/>
  <c r="EE15" i="70"/>
  <c r="EF15" i="70"/>
  <c r="EG15" i="70"/>
  <c r="EH15" i="70"/>
  <c r="EI15" i="70"/>
  <c r="EJ15" i="70"/>
  <c r="EK15" i="70"/>
  <c r="EL15" i="70"/>
  <c r="EM15" i="70"/>
  <c r="EN15" i="70"/>
  <c r="EO15" i="70"/>
  <c r="EP15" i="70"/>
  <c r="EQ15" i="70"/>
  <c r="ER15" i="70"/>
  <c r="ES15" i="70"/>
  <c r="ET15" i="70"/>
  <c r="EU15" i="70"/>
  <c r="EV15" i="70"/>
  <c r="EW15" i="70"/>
  <c r="EX15" i="70"/>
  <c r="EY15" i="70"/>
  <c r="EZ15" i="70"/>
  <c r="FA15" i="70"/>
  <c r="FB15" i="70"/>
  <c r="FC15" i="70"/>
  <c r="FD15" i="70"/>
  <c r="FE15" i="70"/>
  <c r="FF15" i="70"/>
  <c r="FG15" i="70"/>
  <c r="FH15" i="70"/>
  <c r="FI15" i="70"/>
  <c r="FJ15" i="70"/>
  <c r="FK15" i="70"/>
  <c r="FL15" i="70"/>
  <c r="FM15" i="70"/>
  <c r="FN15" i="70"/>
  <c r="FO15" i="70"/>
  <c r="FP15" i="70"/>
  <c r="FQ15" i="70"/>
  <c r="FR15" i="70"/>
  <c r="FS15" i="70"/>
  <c r="FT15" i="70"/>
  <c r="FU15" i="70"/>
  <c r="FV15" i="70"/>
  <c r="FW15" i="70"/>
  <c r="FX15" i="70"/>
  <c r="FY15" i="70"/>
  <c r="FZ15" i="70"/>
  <c r="GA15" i="70"/>
  <c r="GB15" i="70"/>
  <c r="GC15" i="70"/>
  <c r="U16" i="70"/>
  <c r="V16" i="70"/>
  <c r="X16" i="70"/>
  <c r="Y16" i="70"/>
  <c r="Z16" i="70"/>
  <c r="AA16" i="70"/>
  <c r="AI16" i="70"/>
  <c r="AJ16" i="70"/>
  <c r="AK16" i="70"/>
  <c r="AL16" i="70"/>
  <c r="AM16" i="70"/>
  <c r="AN16" i="70"/>
  <c r="AO16" i="70"/>
  <c r="AP16" i="70"/>
  <c r="AQ16" i="70"/>
  <c r="AR16" i="70"/>
  <c r="AS16" i="70"/>
  <c r="AT16" i="70"/>
  <c r="AU16" i="70"/>
  <c r="AV16" i="70"/>
  <c r="AW16" i="70"/>
  <c r="AX16" i="70"/>
  <c r="AY16" i="70"/>
  <c r="AZ16" i="70"/>
  <c r="BA16" i="70"/>
  <c r="BB16" i="70"/>
  <c r="BC16" i="70"/>
  <c r="BD16" i="70"/>
  <c r="BE16" i="70"/>
  <c r="BF16" i="70"/>
  <c r="BG16" i="70"/>
  <c r="BH16" i="70"/>
  <c r="BI16" i="70"/>
  <c r="BJ16" i="70"/>
  <c r="BK16" i="70"/>
  <c r="BL16" i="70"/>
  <c r="BM16" i="70"/>
  <c r="BN16" i="70"/>
  <c r="BO16" i="70"/>
  <c r="BP16" i="70"/>
  <c r="BQ16" i="70"/>
  <c r="BR16" i="70"/>
  <c r="BS16" i="70"/>
  <c r="BT16" i="70"/>
  <c r="BU16" i="70"/>
  <c r="BV16" i="70"/>
  <c r="BW16" i="70"/>
  <c r="BX16" i="70"/>
  <c r="BY16" i="70"/>
  <c r="BZ16" i="70"/>
  <c r="CA16" i="70"/>
  <c r="CB16" i="70"/>
  <c r="CC16" i="70"/>
  <c r="CD16" i="70"/>
  <c r="CE16" i="70"/>
  <c r="CF16" i="70"/>
  <c r="CG16" i="70"/>
  <c r="CH16" i="70"/>
  <c r="CI16" i="70"/>
  <c r="CJ16" i="70"/>
  <c r="CK16" i="70"/>
  <c r="CL16" i="70"/>
  <c r="CM16" i="70"/>
  <c r="CN16" i="70"/>
  <c r="CO16" i="70"/>
  <c r="CP16" i="70"/>
  <c r="CQ16" i="70"/>
  <c r="CR16" i="70"/>
  <c r="CS16" i="70"/>
  <c r="CT16" i="70"/>
  <c r="CU16" i="70"/>
  <c r="CV16" i="70"/>
  <c r="CW16" i="70"/>
  <c r="CX16" i="70"/>
  <c r="CY16" i="70"/>
  <c r="CZ16" i="70"/>
  <c r="DA16" i="70"/>
  <c r="DB16" i="70"/>
  <c r="DC16" i="70"/>
  <c r="DD16" i="70"/>
  <c r="DE16" i="70"/>
  <c r="DF16" i="70"/>
  <c r="DG16" i="70"/>
  <c r="DH16" i="70"/>
  <c r="DI16" i="70"/>
  <c r="DJ16" i="70"/>
  <c r="DK16" i="70"/>
  <c r="DL16" i="70"/>
  <c r="DM16" i="70"/>
  <c r="DN16" i="70"/>
  <c r="DO16" i="70"/>
  <c r="DP16" i="70"/>
  <c r="DQ16" i="70"/>
  <c r="DR16" i="70"/>
  <c r="DS16" i="70"/>
  <c r="DT16" i="70"/>
  <c r="DU16" i="70"/>
  <c r="DV16" i="70"/>
  <c r="DW16" i="70"/>
  <c r="DX16" i="70"/>
  <c r="DY16" i="70"/>
  <c r="DZ16" i="70"/>
  <c r="EA16" i="70"/>
  <c r="EB16" i="70"/>
  <c r="EC16" i="70"/>
  <c r="ED16" i="70"/>
  <c r="EE16" i="70"/>
  <c r="EF16" i="70"/>
  <c r="EG16" i="70"/>
  <c r="EH16" i="70"/>
  <c r="EI16" i="70"/>
  <c r="EJ16" i="70"/>
  <c r="EK16" i="70"/>
  <c r="EL16" i="70"/>
  <c r="EM16" i="70"/>
  <c r="EN16" i="70"/>
  <c r="EO16" i="70"/>
  <c r="EP16" i="70"/>
  <c r="EQ16" i="70"/>
  <c r="ER16" i="70"/>
  <c r="ES16" i="70"/>
  <c r="ET16" i="70"/>
  <c r="EU16" i="70"/>
  <c r="EV16" i="70"/>
  <c r="EW16" i="70"/>
  <c r="EX16" i="70"/>
  <c r="EY16" i="70"/>
  <c r="EZ16" i="70"/>
  <c r="FA16" i="70"/>
  <c r="FB16" i="70"/>
  <c r="FC16" i="70"/>
  <c r="FD16" i="70"/>
  <c r="FE16" i="70"/>
  <c r="FF16" i="70"/>
  <c r="FG16" i="70"/>
  <c r="FH16" i="70"/>
  <c r="FI16" i="70"/>
  <c r="FJ16" i="70"/>
  <c r="FK16" i="70"/>
  <c r="FL16" i="70"/>
  <c r="FM16" i="70"/>
  <c r="FN16" i="70"/>
  <c r="FO16" i="70"/>
  <c r="FP16" i="70"/>
  <c r="FQ16" i="70"/>
  <c r="FR16" i="70"/>
  <c r="FS16" i="70"/>
  <c r="FT16" i="70"/>
  <c r="FU16" i="70"/>
  <c r="FV16" i="70"/>
  <c r="FW16" i="70"/>
  <c r="FX16" i="70"/>
  <c r="FY16" i="70"/>
  <c r="FZ16" i="70"/>
  <c r="GA16" i="70"/>
  <c r="GB16" i="70"/>
  <c r="GC16" i="70"/>
  <c r="U17" i="70"/>
  <c r="V17" i="70"/>
  <c r="X17" i="70"/>
  <c r="Y17" i="70"/>
  <c r="Z17" i="70"/>
  <c r="AA17" i="70"/>
  <c r="AI17" i="70"/>
  <c r="AJ17" i="70"/>
  <c r="AK17" i="70"/>
  <c r="AL17" i="70"/>
  <c r="AM17" i="70"/>
  <c r="AN17" i="70"/>
  <c r="AO17" i="70"/>
  <c r="AP17" i="70"/>
  <c r="AQ17" i="70"/>
  <c r="AR17" i="70"/>
  <c r="AS17" i="70"/>
  <c r="AT17" i="70"/>
  <c r="AU17" i="70"/>
  <c r="AV17" i="70"/>
  <c r="AW17" i="70"/>
  <c r="AX17" i="70"/>
  <c r="AY17" i="70"/>
  <c r="AZ17" i="70"/>
  <c r="BA17" i="70"/>
  <c r="BB17" i="70"/>
  <c r="BC17" i="70"/>
  <c r="BD17" i="70"/>
  <c r="BE17" i="70"/>
  <c r="BF17" i="70"/>
  <c r="BG17" i="70"/>
  <c r="BH17" i="70"/>
  <c r="BI17" i="70"/>
  <c r="BJ17" i="70"/>
  <c r="BK17" i="70"/>
  <c r="BL17" i="70"/>
  <c r="BM17" i="70"/>
  <c r="BN17" i="70"/>
  <c r="BO17" i="70"/>
  <c r="BP17" i="70"/>
  <c r="BQ17" i="70"/>
  <c r="BR17" i="70"/>
  <c r="BS17" i="70"/>
  <c r="BT17" i="70"/>
  <c r="BU17" i="70"/>
  <c r="BV17" i="70"/>
  <c r="BW17" i="70"/>
  <c r="BX17" i="70"/>
  <c r="BY17" i="70"/>
  <c r="BZ17" i="70"/>
  <c r="CA17" i="70"/>
  <c r="CB17" i="70"/>
  <c r="CC17" i="70"/>
  <c r="CD17" i="70"/>
  <c r="CE17" i="70"/>
  <c r="CF17" i="70"/>
  <c r="CG17" i="70"/>
  <c r="CH17" i="70"/>
  <c r="CI17" i="70"/>
  <c r="CJ17" i="70"/>
  <c r="CK17" i="70"/>
  <c r="CL17" i="70"/>
  <c r="CM17" i="70"/>
  <c r="CN17" i="70"/>
  <c r="CO17" i="70"/>
  <c r="CP17" i="70"/>
  <c r="CQ17" i="70"/>
  <c r="CR17" i="70"/>
  <c r="CS17" i="70"/>
  <c r="CT17" i="70"/>
  <c r="CU17" i="70"/>
  <c r="CV17" i="70"/>
  <c r="CW17" i="70"/>
  <c r="CX17" i="70"/>
  <c r="CY17" i="70"/>
  <c r="CZ17" i="70"/>
  <c r="DA17" i="70"/>
  <c r="DB17" i="70"/>
  <c r="DC17" i="70"/>
  <c r="DD17" i="70"/>
  <c r="DE17" i="70"/>
  <c r="DF17" i="70"/>
  <c r="DG17" i="70"/>
  <c r="DH17" i="70"/>
  <c r="DI17" i="70"/>
  <c r="DJ17" i="70"/>
  <c r="DK17" i="70"/>
  <c r="DL17" i="70"/>
  <c r="DM17" i="70"/>
  <c r="DN17" i="70"/>
  <c r="DO17" i="70"/>
  <c r="DP17" i="70"/>
  <c r="DQ17" i="70"/>
  <c r="DR17" i="70"/>
  <c r="DS17" i="70"/>
  <c r="DT17" i="70"/>
  <c r="DU17" i="70"/>
  <c r="DV17" i="70"/>
  <c r="DW17" i="70"/>
  <c r="DX17" i="70"/>
  <c r="DY17" i="70"/>
  <c r="DZ17" i="70"/>
  <c r="EA17" i="70"/>
  <c r="EB17" i="70"/>
  <c r="EC17" i="70"/>
  <c r="ED17" i="70"/>
  <c r="EE17" i="70"/>
  <c r="EF17" i="70"/>
  <c r="EG17" i="70"/>
  <c r="EH17" i="70"/>
  <c r="EI17" i="70"/>
  <c r="EJ17" i="70"/>
  <c r="EK17" i="70"/>
  <c r="EL17" i="70"/>
  <c r="EM17" i="70"/>
  <c r="EN17" i="70"/>
  <c r="EO17" i="70"/>
  <c r="EP17" i="70"/>
  <c r="EQ17" i="70"/>
  <c r="ER17" i="70"/>
  <c r="ES17" i="70"/>
  <c r="ET17" i="70"/>
  <c r="EU17" i="70"/>
  <c r="EV17" i="70"/>
  <c r="EW17" i="70"/>
  <c r="EX17" i="70"/>
  <c r="EY17" i="70"/>
  <c r="EZ17" i="70"/>
  <c r="FA17" i="70"/>
  <c r="FB17" i="70"/>
  <c r="FC17" i="70"/>
  <c r="FD17" i="70"/>
  <c r="FE17" i="70"/>
  <c r="FF17" i="70"/>
  <c r="FG17" i="70"/>
  <c r="FH17" i="70"/>
  <c r="FI17" i="70"/>
  <c r="FJ17" i="70"/>
  <c r="FK17" i="70"/>
  <c r="FL17" i="70"/>
  <c r="FM17" i="70"/>
  <c r="FN17" i="70"/>
  <c r="FO17" i="70"/>
  <c r="FP17" i="70"/>
  <c r="FQ17" i="70"/>
  <c r="FR17" i="70"/>
  <c r="FS17" i="70"/>
  <c r="FT17" i="70"/>
  <c r="FU17" i="70"/>
  <c r="FV17" i="70"/>
  <c r="FW17" i="70"/>
  <c r="FX17" i="70"/>
  <c r="FY17" i="70"/>
  <c r="FZ17" i="70"/>
  <c r="GA17" i="70"/>
  <c r="GB17" i="70"/>
  <c r="GC17" i="70"/>
  <c r="U18" i="70"/>
  <c r="V18" i="70"/>
  <c r="X18" i="70"/>
  <c r="Y18" i="70"/>
  <c r="Z18" i="70"/>
  <c r="AA18" i="70"/>
  <c r="AI18" i="70"/>
  <c r="AJ18" i="70"/>
  <c r="AK18" i="70"/>
  <c r="AL18" i="70"/>
  <c r="AM18" i="70"/>
  <c r="AN18" i="70"/>
  <c r="AO18" i="70"/>
  <c r="AP18" i="70"/>
  <c r="AQ18" i="70"/>
  <c r="AR18" i="70"/>
  <c r="AS18" i="70"/>
  <c r="AT18" i="70"/>
  <c r="AU18" i="70"/>
  <c r="AV18" i="70"/>
  <c r="AW18" i="70"/>
  <c r="AX18" i="70"/>
  <c r="AY18" i="70"/>
  <c r="AZ18" i="70"/>
  <c r="BA18" i="70"/>
  <c r="BB18" i="70"/>
  <c r="BC18" i="70"/>
  <c r="BD18" i="70"/>
  <c r="BE18" i="70"/>
  <c r="BF18" i="70"/>
  <c r="BG18" i="70"/>
  <c r="BH18" i="70"/>
  <c r="BI18" i="70"/>
  <c r="BJ18" i="70"/>
  <c r="BK18" i="70"/>
  <c r="BL18" i="70"/>
  <c r="BM18" i="70"/>
  <c r="BN18" i="70"/>
  <c r="BO18" i="70"/>
  <c r="BP18" i="70"/>
  <c r="BQ18" i="70"/>
  <c r="BR18" i="70"/>
  <c r="BS18" i="70"/>
  <c r="BT18" i="70"/>
  <c r="BU18" i="70"/>
  <c r="BV18" i="70"/>
  <c r="BW18" i="70"/>
  <c r="BX18" i="70"/>
  <c r="BY18" i="70"/>
  <c r="BZ18" i="70"/>
  <c r="CA18" i="70"/>
  <c r="CB18" i="70"/>
  <c r="CC18" i="70"/>
  <c r="CD18" i="70"/>
  <c r="CE18" i="70"/>
  <c r="CF18" i="70"/>
  <c r="CG18" i="70"/>
  <c r="CH18" i="70"/>
  <c r="CI18" i="70"/>
  <c r="CJ18" i="70"/>
  <c r="CK18" i="70"/>
  <c r="CL18" i="70"/>
  <c r="CM18" i="70"/>
  <c r="CN18" i="70"/>
  <c r="CO18" i="70"/>
  <c r="CP18" i="70"/>
  <c r="CQ18" i="70"/>
  <c r="CR18" i="70"/>
  <c r="CS18" i="70"/>
  <c r="CT18" i="70"/>
  <c r="CU18" i="70"/>
  <c r="CV18" i="70"/>
  <c r="CW18" i="70"/>
  <c r="CX18" i="70"/>
  <c r="CY18" i="70"/>
  <c r="CZ18" i="70"/>
  <c r="DA18" i="70"/>
  <c r="DB18" i="70"/>
  <c r="DC18" i="70"/>
  <c r="DD18" i="70"/>
  <c r="DE18" i="70"/>
  <c r="DF18" i="70"/>
  <c r="DG18" i="70"/>
  <c r="DH18" i="70"/>
  <c r="DI18" i="70"/>
  <c r="DJ18" i="70"/>
  <c r="DK18" i="70"/>
  <c r="DL18" i="70"/>
  <c r="DM18" i="70"/>
  <c r="DN18" i="70"/>
  <c r="DO18" i="70"/>
  <c r="DP18" i="70"/>
  <c r="DQ18" i="70"/>
  <c r="DR18" i="70"/>
  <c r="DS18" i="70"/>
  <c r="DT18" i="70"/>
  <c r="DU18" i="70"/>
  <c r="DV18" i="70"/>
  <c r="DW18" i="70"/>
  <c r="DX18" i="70"/>
  <c r="DY18" i="70"/>
  <c r="DZ18" i="70"/>
  <c r="EA18" i="70"/>
  <c r="EB18" i="70"/>
  <c r="EC18" i="70"/>
  <c r="ED18" i="70"/>
  <c r="EE18" i="70"/>
  <c r="EF18" i="70"/>
  <c r="EG18" i="70"/>
  <c r="EH18" i="70"/>
  <c r="EI18" i="70"/>
  <c r="EJ18" i="70"/>
  <c r="EK18" i="70"/>
  <c r="EL18" i="70"/>
  <c r="EM18" i="70"/>
  <c r="EN18" i="70"/>
  <c r="EO18" i="70"/>
  <c r="EP18" i="70"/>
  <c r="EQ18" i="70"/>
  <c r="ER18" i="70"/>
  <c r="ES18" i="70"/>
  <c r="ET18" i="70"/>
  <c r="EU18" i="70"/>
  <c r="EV18" i="70"/>
  <c r="EW18" i="70"/>
  <c r="EX18" i="70"/>
  <c r="EY18" i="70"/>
  <c r="EZ18" i="70"/>
  <c r="FA18" i="70"/>
  <c r="FB18" i="70"/>
  <c r="FC18" i="70"/>
  <c r="FD18" i="70"/>
  <c r="FE18" i="70"/>
  <c r="FF18" i="70"/>
  <c r="FG18" i="70"/>
  <c r="FH18" i="70"/>
  <c r="FI18" i="70"/>
  <c r="FJ18" i="70"/>
  <c r="FK18" i="70"/>
  <c r="FL18" i="70"/>
  <c r="FM18" i="70"/>
  <c r="FN18" i="70"/>
  <c r="FO18" i="70"/>
  <c r="FP18" i="70"/>
  <c r="FQ18" i="70"/>
  <c r="FR18" i="70"/>
  <c r="FS18" i="70"/>
  <c r="FT18" i="70"/>
  <c r="FU18" i="70"/>
  <c r="FV18" i="70"/>
  <c r="FW18" i="70"/>
  <c r="FX18" i="70"/>
  <c r="FY18" i="70"/>
  <c r="FZ18" i="70"/>
  <c r="GA18" i="70"/>
  <c r="GB18" i="70"/>
  <c r="GC18" i="70"/>
  <c r="U19" i="70"/>
  <c r="V19" i="70"/>
  <c r="X19" i="70"/>
  <c r="Y19" i="70"/>
  <c r="Z19" i="70"/>
  <c r="AA19" i="70"/>
  <c r="AI19" i="70"/>
  <c r="AJ19" i="70"/>
  <c r="AK19" i="70"/>
  <c r="AL19" i="70"/>
  <c r="AM19" i="70"/>
  <c r="AN19" i="70"/>
  <c r="AO19" i="70"/>
  <c r="AP19" i="70"/>
  <c r="AQ19" i="70"/>
  <c r="AR19" i="70"/>
  <c r="AS19" i="70"/>
  <c r="AT19" i="70"/>
  <c r="AU19" i="70"/>
  <c r="AV19" i="70"/>
  <c r="AW19" i="70"/>
  <c r="AX19" i="70"/>
  <c r="AY19" i="70"/>
  <c r="AZ19" i="70"/>
  <c r="BA19" i="70"/>
  <c r="BB19" i="70"/>
  <c r="BC19" i="70"/>
  <c r="BD19" i="70"/>
  <c r="BE19" i="70"/>
  <c r="BF19" i="70"/>
  <c r="BG19" i="70"/>
  <c r="BH19" i="70"/>
  <c r="BI19" i="70"/>
  <c r="BJ19" i="70"/>
  <c r="BK19" i="70"/>
  <c r="BL19" i="70"/>
  <c r="BM19" i="70"/>
  <c r="BN19" i="70"/>
  <c r="BO19" i="70"/>
  <c r="BP19" i="70"/>
  <c r="BQ19" i="70"/>
  <c r="BR19" i="70"/>
  <c r="BS19" i="70"/>
  <c r="BT19" i="70"/>
  <c r="BU19" i="70"/>
  <c r="BV19" i="70"/>
  <c r="BW19" i="70"/>
  <c r="BX19" i="70"/>
  <c r="BY19" i="70"/>
  <c r="BZ19" i="70"/>
  <c r="CA19" i="70"/>
  <c r="CB19" i="70"/>
  <c r="CC19" i="70"/>
  <c r="CD19" i="70"/>
  <c r="CE19" i="70"/>
  <c r="CF19" i="70"/>
  <c r="CG19" i="70"/>
  <c r="CH19" i="70"/>
  <c r="CI19" i="70"/>
  <c r="CJ19" i="70"/>
  <c r="CK19" i="70"/>
  <c r="CL19" i="70"/>
  <c r="CM19" i="70"/>
  <c r="CN19" i="70"/>
  <c r="CO19" i="70"/>
  <c r="CP19" i="70"/>
  <c r="CQ19" i="70"/>
  <c r="CR19" i="70"/>
  <c r="CS19" i="70"/>
  <c r="CT19" i="70"/>
  <c r="CU19" i="70"/>
  <c r="CV19" i="70"/>
  <c r="CW19" i="70"/>
  <c r="CX19" i="70"/>
  <c r="CY19" i="70"/>
  <c r="CZ19" i="70"/>
  <c r="DA19" i="70"/>
  <c r="DB19" i="70"/>
  <c r="DC19" i="70"/>
  <c r="DD19" i="70"/>
  <c r="DE19" i="70"/>
  <c r="DF19" i="70"/>
  <c r="DG19" i="70"/>
  <c r="DH19" i="70"/>
  <c r="DI19" i="70"/>
  <c r="DJ19" i="70"/>
  <c r="DK19" i="70"/>
  <c r="DL19" i="70"/>
  <c r="DM19" i="70"/>
  <c r="DN19" i="70"/>
  <c r="DO19" i="70"/>
  <c r="DP19" i="70"/>
  <c r="DQ19" i="70"/>
  <c r="DR19" i="70"/>
  <c r="DS19" i="70"/>
  <c r="DT19" i="70"/>
  <c r="DU19" i="70"/>
  <c r="DV19" i="70"/>
  <c r="DW19" i="70"/>
  <c r="DX19" i="70"/>
  <c r="DY19" i="70"/>
  <c r="DZ19" i="70"/>
  <c r="EA19" i="70"/>
  <c r="EB19" i="70"/>
  <c r="EC19" i="70"/>
  <c r="ED19" i="70"/>
  <c r="EE19" i="70"/>
  <c r="EF19" i="70"/>
  <c r="EG19" i="70"/>
  <c r="EH19" i="70"/>
  <c r="EI19" i="70"/>
  <c r="EJ19" i="70"/>
  <c r="EK19" i="70"/>
  <c r="EL19" i="70"/>
  <c r="EM19" i="70"/>
  <c r="EN19" i="70"/>
  <c r="EO19" i="70"/>
  <c r="EP19" i="70"/>
  <c r="EQ19" i="70"/>
  <c r="ER19" i="70"/>
  <c r="ES19" i="70"/>
  <c r="ET19" i="70"/>
  <c r="EU19" i="70"/>
  <c r="EV19" i="70"/>
  <c r="EW19" i="70"/>
  <c r="EX19" i="70"/>
  <c r="EY19" i="70"/>
  <c r="EZ19" i="70"/>
  <c r="FA19" i="70"/>
  <c r="FB19" i="70"/>
  <c r="FC19" i="70"/>
  <c r="FD19" i="70"/>
  <c r="FE19" i="70"/>
  <c r="FF19" i="70"/>
  <c r="FG19" i="70"/>
  <c r="FH19" i="70"/>
  <c r="FI19" i="70"/>
  <c r="FJ19" i="70"/>
  <c r="FK19" i="70"/>
  <c r="FL19" i="70"/>
  <c r="FM19" i="70"/>
  <c r="FN19" i="70"/>
  <c r="FO19" i="70"/>
  <c r="FP19" i="70"/>
  <c r="FQ19" i="70"/>
  <c r="FR19" i="70"/>
  <c r="FS19" i="70"/>
  <c r="FT19" i="70"/>
  <c r="FU19" i="70"/>
  <c r="FV19" i="70"/>
  <c r="FW19" i="70"/>
  <c r="FX19" i="70"/>
  <c r="FY19" i="70"/>
  <c r="FZ19" i="70"/>
  <c r="GA19" i="70"/>
  <c r="GB19" i="70"/>
  <c r="GC19" i="70"/>
  <c r="U20" i="70"/>
  <c r="V20" i="70"/>
  <c r="X20" i="70"/>
  <c r="Y20" i="70"/>
  <c r="Z20" i="70"/>
  <c r="AA20" i="70"/>
  <c r="AI20" i="70"/>
  <c r="AJ20" i="70"/>
  <c r="AK20" i="70"/>
  <c r="AL20" i="70"/>
  <c r="AM20" i="70"/>
  <c r="AN20" i="70"/>
  <c r="AO20" i="70"/>
  <c r="AP20" i="70"/>
  <c r="AQ20" i="70"/>
  <c r="AR20" i="70"/>
  <c r="AS20" i="70"/>
  <c r="AT20" i="70"/>
  <c r="AU20" i="70"/>
  <c r="AV20" i="70"/>
  <c r="AW20" i="70"/>
  <c r="AX20" i="70"/>
  <c r="AY20" i="70"/>
  <c r="AZ20" i="70"/>
  <c r="BA20" i="70"/>
  <c r="BB20" i="70"/>
  <c r="BC20" i="70"/>
  <c r="BD20" i="70"/>
  <c r="BE20" i="70"/>
  <c r="BF20" i="70"/>
  <c r="BG20" i="70"/>
  <c r="BH20" i="70"/>
  <c r="BI20" i="70"/>
  <c r="BJ20" i="70"/>
  <c r="BK20" i="70"/>
  <c r="BL20" i="70"/>
  <c r="BM20" i="70"/>
  <c r="BN20" i="70"/>
  <c r="BO20" i="70"/>
  <c r="BP20" i="70"/>
  <c r="BQ20" i="70"/>
  <c r="BR20" i="70"/>
  <c r="BS20" i="70"/>
  <c r="BT20" i="70"/>
  <c r="BU20" i="70"/>
  <c r="BV20" i="70"/>
  <c r="BW20" i="70"/>
  <c r="BX20" i="70"/>
  <c r="BY20" i="70"/>
  <c r="BZ20" i="70"/>
  <c r="CA20" i="70"/>
  <c r="CB20" i="70"/>
  <c r="CC20" i="70"/>
  <c r="CD20" i="70"/>
  <c r="CE20" i="70"/>
  <c r="CF20" i="70"/>
  <c r="CG20" i="70"/>
  <c r="CH20" i="70"/>
  <c r="CI20" i="70"/>
  <c r="CJ20" i="70"/>
  <c r="CK20" i="70"/>
  <c r="CL20" i="70"/>
  <c r="CM20" i="70"/>
  <c r="CN20" i="70"/>
  <c r="CO20" i="70"/>
  <c r="CP20" i="70"/>
  <c r="CQ20" i="70"/>
  <c r="CR20" i="70"/>
  <c r="CS20" i="70"/>
  <c r="CT20" i="70"/>
  <c r="CU20" i="70"/>
  <c r="CV20" i="70"/>
  <c r="CW20" i="70"/>
  <c r="CX20" i="70"/>
  <c r="CY20" i="70"/>
  <c r="CZ20" i="70"/>
  <c r="DA20" i="70"/>
  <c r="DB20" i="70"/>
  <c r="DC20" i="70"/>
  <c r="DD20" i="70"/>
  <c r="DE20" i="70"/>
  <c r="DF20" i="70"/>
  <c r="DG20" i="70"/>
  <c r="DH20" i="70"/>
  <c r="DI20" i="70"/>
  <c r="DJ20" i="70"/>
  <c r="DK20" i="70"/>
  <c r="DL20" i="70"/>
  <c r="DM20" i="70"/>
  <c r="DN20" i="70"/>
  <c r="DO20" i="70"/>
  <c r="DP20" i="70"/>
  <c r="DQ20" i="70"/>
  <c r="DR20" i="70"/>
  <c r="DS20" i="70"/>
  <c r="DT20" i="70"/>
  <c r="DU20" i="70"/>
  <c r="DV20" i="70"/>
  <c r="DW20" i="70"/>
  <c r="DX20" i="70"/>
  <c r="DY20" i="70"/>
  <c r="DZ20" i="70"/>
  <c r="EA20" i="70"/>
  <c r="EB20" i="70"/>
  <c r="EC20" i="70"/>
  <c r="ED20" i="70"/>
  <c r="EE20" i="70"/>
  <c r="EF20" i="70"/>
  <c r="EG20" i="70"/>
  <c r="EH20" i="70"/>
  <c r="EI20" i="70"/>
  <c r="EJ20" i="70"/>
  <c r="EK20" i="70"/>
  <c r="EL20" i="70"/>
  <c r="EM20" i="70"/>
  <c r="EN20" i="70"/>
  <c r="EO20" i="70"/>
  <c r="EP20" i="70"/>
  <c r="EQ20" i="70"/>
  <c r="ER20" i="70"/>
  <c r="ES20" i="70"/>
  <c r="ET20" i="70"/>
  <c r="EU20" i="70"/>
  <c r="EV20" i="70"/>
  <c r="EW20" i="70"/>
  <c r="EX20" i="70"/>
  <c r="EY20" i="70"/>
  <c r="EZ20" i="70"/>
  <c r="FA20" i="70"/>
  <c r="FB20" i="70"/>
  <c r="FC20" i="70"/>
  <c r="FD20" i="70"/>
  <c r="FE20" i="70"/>
  <c r="FF20" i="70"/>
  <c r="FG20" i="70"/>
  <c r="FH20" i="70"/>
  <c r="FI20" i="70"/>
  <c r="FJ20" i="70"/>
  <c r="FK20" i="70"/>
  <c r="FL20" i="70"/>
  <c r="FM20" i="70"/>
  <c r="FN20" i="70"/>
  <c r="FO20" i="70"/>
  <c r="FP20" i="70"/>
  <c r="FQ20" i="70"/>
  <c r="FR20" i="70"/>
  <c r="FS20" i="70"/>
  <c r="FT20" i="70"/>
  <c r="FU20" i="70"/>
  <c r="FV20" i="70"/>
  <c r="FW20" i="70"/>
  <c r="FX20" i="70"/>
  <c r="FY20" i="70"/>
  <c r="FZ20" i="70"/>
  <c r="GA20" i="70"/>
  <c r="GB20" i="70"/>
  <c r="GC20" i="70"/>
  <c r="U21" i="70"/>
  <c r="V21" i="70"/>
  <c r="X21" i="70"/>
  <c r="Y21" i="70"/>
  <c r="Z21" i="70"/>
  <c r="AA21" i="70"/>
  <c r="AI21" i="70"/>
  <c r="AJ21" i="70"/>
  <c r="AK21" i="70"/>
  <c r="AL21" i="70"/>
  <c r="AM21" i="70"/>
  <c r="AN21" i="70"/>
  <c r="AO21" i="70"/>
  <c r="AP21" i="70"/>
  <c r="AQ21" i="70"/>
  <c r="AR21" i="70"/>
  <c r="AS21" i="70"/>
  <c r="AT21" i="70"/>
  <c r="AU21" i="70"/>
  <c r="AV21" i="70"/>
  <c r="AW21" i="70"/>
  <c r="AX21" i="70"/>
  <c r="AY21" i="70"/>
  <c r="AZ21" i="70"/>
  <c r="BA21" i="70"/>
  <c r="BB21" i="70"/>
  <c r="BC21" i="70"/>
  <c r="BD21" i="70"/>
  <c r="BE21" i="70"/>
  <c r="BF21" i="70"/>
  <c r="BG21" i="70"/>
  <c r="BH21" i="70"/>
  <c r="BI21" i="70"/>
  <c r="BJ21" i="70"/>
  <c r="BK21" i="70"/>
  <c r="BL21" i="70"/>
  <c r="BM21" i="70"/>
  <c r="BN21" i="70"/>
  <c r="BO21" i="70"/>
  <c r="BP21" i="70"/>
  <c r="BQ21" i="70"/>
  <c r="BR21" i="70"/>
  <c r="BS21" i="70"/>
  <c r="BT21" i="70"/>
  <c r="BU21" i="70"/>
  <c r="BV21" i="70"/>
  <c r="BW21" i="70"/>
  <c r="BX21" i="70"/>
  <c r="BY21" i="70"/>
  <c r="BZ21" i="70"/>
  <c r="CA21" i="70"/>
  <c r="CB21" i="70"/>
  <c r="CC21" i="70"/>
  <c r="CD21" i="70"/>
  <c r="CE21" i="70"/>
  <c r="CF21" i="70"/>
  <c r="CG21" i="70"/>
  <c r="CH21" i="70"/>
  <c r="CI21" i="70"/>
  <c r="CJ21" i="70"/>
  <c r="CK21" i="70"/>
  <c r="CL21" i="70"/>
  <c r="CM21" i="70"/>
  <c r="CN21" i="70"/>
  <c r="CO21" i="70"/>
  <c r="CP21" i="70"/>
  <c r="CQ21" i="70"/>
  <c r="CR21" i="70"/>
  <c r="CS21" i="70"/>
  <c r="CT21" i="70"/>
  <c r="CU21" i="70"/>
  <c r="CV21" i="70"/>
  <c r="CW21" i="70"/>
  <c r="CX21" i="70"/>
  <c r="CY21" i="70"/>
  <c r="CZ21" i="70"/>
  <c r="DA21" i="70"/>
  <c r="DB21" i="70"/>
  <c r="DC21" i="70"/>
  <c r="DD21" i="70"/>
  <c r="DE21" i="70"/>
  <c r="DF21" i="70"/>
  <c r="DG21" i="70"/>
  <c r="DH21" i="70"/>
  <c r="DI21" i="70"/>
  <c r="DJ21" i="70"/>
  <c r="DK21" i="70"/>
  <c r="DL21" i="70"/>
  <c r="DM21" i="70"/>
  <c r="DN21" i="70"/>
  <c r="DO21" i="70"/>
  <c r="DP21" i="70"/>
  <c r="DQ21" i="70"/>
  <c r="DR21" i="70"/>
  <c r="DS21" i="70"/>
  <c r="DT21" i="70"/>
  <c r="DU21" i="70"/>
  <c r="DV21" i="70"/>
  <c r="DW21" i="70"/>
  <c r="DX21" i="70"/>
  <c r="DY21" i="70"/>
  <c r="DZ21" i="70"/>
  <c r="EA21" i="70"/>
  <c r="EB21" i="70"/>
  <c r="EC21" i="70"/>
  <c r="ED21" i="70"/>
  <c r="EE21" i="70"/>
  <c r="EF21" i="70"/>
  <c r="EG21" i="70"/>
  <c r="EH21" i="70"/>
  <c r="EI21" i="70"/>
  <c r="EJ21" i="70"/>
  <c r="EK21" i="70"/>
  <c r="EL21" i="70"/>
  <c r="EM21" i="70"/>
  <c r="EN21" i="70"/>
  <c r="EO21" i="70"/>
  <c r="EP21" i="70"/>
  <c r="EQ21" i="70"/>
  <c r="ER21" i="70"/>
  <c r="ES21" i="70"/>
  <c r="ET21" i="70"/>
  <c r="EU21" i="70"/>
  <c r="EV21" i="70"/>
  <c r="EW21" i="70"/>
  <c r="EX21" i="70"/>
  <c r="EY21" i="70"/>
  <c r="EZ21" i="70"/>
  <c r="FA21" i="70"/>
  <c r="FB21" i="70"/>
  <c r="FC21" i="70"/>
  <c r="FD21" i="70"/>
  <c r="FE21" i="70"/>
  <c r="FF21" i="70"/>
  <c r="FG21" i="70"/>
  <c r="FH21" i="70"/>
  <c r="FI21" i="70"/>
  <c r="FJ21" i="70"/>
  <c r="FK21" i="70"/>
  <c r="FL21" i="70"/>
  <c r="FM21" i="70"/>
  <c r="FN21" i="70"/>
  <c r="FO21" i="70"/>
  <c r="FP21" i="70"/>
  <c r="FQ21" i="70"/>
  <c r="FR21" i="70"/>
  <c r="FS21" i="70"/>
  <c r="FT21" i="70"/>
  <c r="FU21" i="70"/>
  <c r="FV21" i="70"/>
  <c r="FW21" i="70"/>
  <c r="FX21" i="70"/>
  <c r="FY21" i="70"/>
  <c r="FZ21" i="70"/>
  <c r="GA21" i="70"/>
  <c r="GB21" i="70"/>
  <c r="GC21" i="70"/>
  <c r="U22" i="70"/>
  <c r="V22" i="70"/>
  <c r="X22" i="70"/>
  <c r="Y22" i="70"/>
  <c r="Z22" i="70"/>
  <c r="AA22" i="70"/>
  <c r="AI22" i="70"/>
  <c r="AJ22" i="70"/>
  <c r="AK22" i="70"/>
  <c r="AL22" i="70"/>
  <c r="AM22" i="70"/>
  <c r="AN22" i="70"/>
  <c r="AO22" i="70"/>
  <c r="AP22" i="70"/>
  <c r="AQ22" i="70"/>
  <c r="AR22" i="70"/>
  <c r="AS22" i="70"/>
  <c r="AT22" i="70"/>
  <c r="AU22" i="70"/>
  <c r="AV22" i="70"/>
  <c r="AW22" i="70"/>
  <c r="AX22" i="70"/>
  <c r="AY22" i="70"/>
  <c r="AZ22" i="70"/>
  <c r="BA22" i="70"/>
  <c r="BB22" i="70"/>
  <c r="BC22" i="70"/>
  <c r="BD22" i="70"/>
  <c r="BE22" i="70"/>
  <c r="BF22" i="70"/>
  <c r="BG22" i="70"/>
  <c r="BH22" i="70"/>
  <c r="BI22" i="70"/>
  <c r="BJ22" i="70"/>
  <c r="BK22" i="70"/>
  <c r="BL22" i="70"/>
  <c r="BM22" i="70"/>
  <c r="BN22" i="70"/>
  <c r="BO22" i="70"/>
  <c r="BP22" i="70"/>
  <c r="BQ22" i="70"/>
  <c r="BR22" i="70"/>
  <c r="BS22" i="70"/>
  <c r="BT22" i="70"/>
  <c r="BU22" i="70"/>
  <c r="BV22" i="70"/>
  <c r="BW22" i="70"/>
  <c r="BX22" i="70"/>
  <c r="BY22" i="70"/>
  <c r="BZ22" i="70"/>
  <c r="CA22" i="70"/>
  <c r="CB22" i="70"/>
  <c r="CC22" i="70"/>
  <c r="CD22" i="70"/>
  <c r="CE22" i="70"/>
  <c r="CF22" i="70"/>
  <c r="CG22" i="70"/>
  <c r="CH22" i="70"/>
  <c r="CI22" i="70"/>
  <c r="CJ22" i="70"/>
  <c r="CK22" i="70"/>
  <c r="CL22" i="70"/>
  <c r="CM22" i="70"/>
  <c r="CN22" i="70"/>
  <c r="CO22" i="70"/>
  <c r="CP22" i="70"/>
  <c r="CQ22" i="70"/>
  <c r="CR22" i="70"/>
  <c r="CS22" i="70"/>
  <c r="CT22" i="70"/>
  <c r="CU22" i="70"/>
  <c r="CV22" i="70"/>
  <c r="CW22" i="70"/>
  <c r="CX22" i="70"/>
  <c r="CY22" i="70"/>
  <c r="CZ22" i="70"/>
  <c r="DA22" i="70"/>
  <c r="DB22" i="70"/>
  <c r="DC22" i="70"/>
  <c r="DD22" i="70"/>
  <c r="DE22" i="70"/>
  <c r="DF22" i="70"/>
  <c r="DG22" i="70"/>
  <c r="DH22" i="70"/>
  <c r="DI22" i="70"/>
  <c r="DJ22" i="70"/>
  <c r="DK22" i="70"/>
  <c r="DL22" i="70"/>
  <c r="DM22" i="70"/>
  <c r="DN22" i="70"/>
  <c r="DO22" i="70"/>
  <c r="DP22" i="70"/>
  <c r="DQ22" i="70"/>
  <c r="DR22" i="70"/>
  <c r="DS22" i="70"/>
  <c r="DT22" i="70"/>
  <c r="DU22" i="70"/>
  <c r="DV22" i="70"/>
  <c r="DW22" i="70"/>
  <c r="DX22" i="70"/>
  <c r="DY22" i="70"/>
  <c r="DZ22" i="70"/>
  <c r="EA22" i="70"/>
  <c r="EB22" i="70"/>
  <c r="EC22" i="70"/>
  <c r="ED22" i="70"/>
  <c r="EE22" i="70"/>
  <c r="EF22" i="70"/>
  <c r="EG22" i="70"/>
  <c r="EH22" i="70"/>
  <c r="EI22" i="70"/>
  <c r="EJ22" i="70"/>
  <c r="EK22" i="70"/>
  <c r="EL22" i="70"/>
  <c r="EM22" i="70"/>
  <c r="EN22" i="70"/>
  <c r="EO22" i="70"/>
  <c r="EP22" i="70"/>
  <c r="EQ22" i="70"/>
  <c r="ER22" i="70"/>
  <c r="ES22" i="70"/>
  <c r="ET22" i="70"/>
  <c r="EU22" i="70"/>
  <c r="EV22" i="70"/>
  <c r="EW22" i="70"/>
  <c r="EX22" i="70"/>
  <c r="EY22" i="70"/>
  <c r="EZ22" i="70"/>
  <c r="FA22" i="70"/>
  <c r="FB22" i="70"/>
  <c r="FC22" i="70"/>
  <c r="FD22" i="70"/>
  <c r="FE22" i="70"/>
  <c r="FF22" i="70"/>
  <c r="FG22" i="70"/>
  <c r="FH22" i="70"/>
  <c r="FI22" i="70"/>
  <c r="FJ22" i="70"/>
  <c r="FK22" i="70"/>
  <c r="FL22" i="70"/>
  <c r="FM22" i="70"/>
  <c r="FN22" i="70"/>
  <c r="FO22" i="70"/>
  <c r="FP22" i="70"/>
  <c r="FQ22" i="70"/>
  <c r="FR22" i="70"/>
  <c r="FS22" i="70"/>
  <c r="FT22" i="70"/>
  <c r="FU22" i="70"/>
  <c r="FV22" i="70"/>
  <c r="FW22" i="70"/>
  <c r="FX22" i="70"/>
  <c r="FY22" i="70"/>
  <c r="FZ22" i="70"/>
  <c r="GA22" i="70"/>
  <c r="GB22" i="70"/>
  <c r="GC22" i="70"/>
  <c r="U23" i="70"/>
  <c r="V23" i="70"/>
  <c r="X23" i="70"/>
  <c r="Y23" i="70"/>
  <c r="Z23" i="70"/>
  <c r="AA23" i="70"/>
  <c r="AI23" i="70"/>
  <c r="AJ23" i="70"/>
  <c r="AK23" i="70"/>
  <c r="AL23" i="70"/>
  <c r="AM23" i="70"/>
  <c r="AN23" i="70"/>
  <c r="AO23" i="70"/>
  <c r="AP23" i="70"/>
  <c r="AQ23" i="70"/>
  <c r="AR23" i="70"/>
  <c r="AS23" i="70"/>
  <c r="AT23" i="70"/>
  <c r="AU23" i="70"/>
  <c r="AV23" i="70"/>
  <c r="AW23" i="70"/>
  <c r="AX23" i="70"/>
  <c r="AY23" i="70"/>
  <c r="AZ23" i="70"/>
  <c r="BA23" i="70"/>
  <c r="BB23" i="70"/>
  <c r="BC23" i="70"/>
  <c r="BD23" i="70"/>
  <c r="BE23" i="70"/>
  <c r="BF23" i="70"/>
  <c r="BG23" i="70"/>
  <c r="BH23" i="70"/>
  <c r="BI23" i="70"/>
  <c r="BJ23" i="70"/>
  <c r="BK23" i="70"/>
  <c r="BL23" i="70"/>
  <c r="BM23" i="70"/>
  <c r="BN23" i="70"/>
  <c r="BO23" i="70"/>
  <c r="BP23" i="70"/>
  <c r="BQ23" i="70"/>
  <c r="BR23" i="70"/>
  <c r="BS23" i="70"/>
  <c r="BT23" i="70"/>
  <c r="BU23" i="70"/>
  <c r="BV23" i="70"/>
  <c r="BW23" i="70"/>
  <c r="BX23" i="70"/>
  <c r="BY23" i="70"/>
  <c r="BZ23" i="70"/>
  <c r="CA23" i="70"/>
  <c r="CB23" i="70"/>
  <c r="CC23" i="70"/>
  <c r="CD23" i="70"/>
  <c r="CE23" i="70"/>
  <c r="CF23" i="70"/>
  <c r="CG23" i="70"/>
  <c r="CH23" i="70"/>
  <c r="CI23" i="70"/>
  <c r="CJ23" i="70"/>
  <c r="CK23" i="70"/>
  <c r="CL23" i="70"/>
  <c r="CM23" i="70"/>
  <c r="CN23" i="70"/>
  <c r="CO23" i="70"/>
  <c r="CP23" i="70"/>
  <c r="CQ23" i="70"/>
  <c r="CR23" i="70"/>
  <c r="CS23" i="70"/>
  <c r="CT23" i="70"/>
  <c r="CU23" i="70"/>
  <c r="CV23" i="70"/>
  <c r="CW23" i="70"/>
  <c r="CX23" i="70"/>
  <c r="CY23" i="70"/>
  <c r="CZ23" i="70"/>
  <c r="DA23" i="70"/>
  <c r="DB23" i="70"/>
  <c r="DC23" i="70"/>
  <c r="DD23" i="70"/>
  <c r="DE23" i="70"/>
  <c r="DF23" i="70"/>
  <c r="DG23" i="70"/>
  <c r="DH23" i="70"/>
  <c r="DI23" i="70"/>
  <c r="DJ23" i="70"/>
  <c r="DK23" i="70"/>
  <c r="DL23" i="70"/>
  <c r="DM23" i="70"/>
  <c r="DN23" i="70"/>
  <c r="DO23" i="70"/>
  <c r="DP23" i="70"/>
  <c r="DQ23" i="70"/>
  <c r="DR23" i="70"/>
  <c r="DS23" i="70"/>
  <c r="DT23" i="70"/>
  <c r="DU23" i="70"/>
  <c r="DV23" i="70"/>
  <c r="DW23" i="70"/>
  <c r="DX23" i="70"/>
  <c r="DY23" i="70"/>
  <c r="DZ23" i="70"/>
  <c r="EA23" i="70"/>
  <c r="EB23" i="70"/>
  <c r="EC23" i="70"/>
  <c r="ED23" i="70"/>
  <c r="EE23" i="70"/>
  <c r="EF23" i="70"/>
  <c r="EG23" i="70"/>
  <c r="EH23" i="70"/>
  <c r="EI23" i="70"/>
  <c r="EJ23" i="70"/>
  <c r="EK23" i="70"/>
  <c r="EL23" i="70"/>
  <c r="EM23" i="70"/>
  <c r="EN23" i="70"/>
  <c r="EO23" i="70"/>
  <c r="EP23" i="70"/>
  <c r="EQ23" i="70"/>
  <c r="ER23" i="70"/>
  <c r="ES23" i="70"/>
  <c r="ET23" i="70"/>
  <c r="EU23" i="70"/>
  <c r="EV23" i="70"/>
  <c r="EW23" i="70"/>
  <c r="EX23" i="70"/>
  <c r="EY23" i="70"/>
  <c r="EZ23" i="70"/>
  <c r="FA23" i="70"/>
  <c r="FB23" i="70"/>
  <c r="FC23" i="70"/>
  <c r="FD23" i="70"/>
  <c r="FE23" i="70"/>
  <c r="FF23" i="70"/>
  <c r="FG23" i="70"/>
  <c r="FH23" i="70"/>
  <c r="FI23" i="70"/>
  <c r="FJ23" i="70"/>
  <c r="FK23" i="70"/>
  <c r="FL23" i="70"/>
  <c r="FM23" i="70"/>
  <c r="FN23" i="70"/>
  <c r="FO23" i="70"/>
  <c r="FP23" i="70"/>
  <c r="FQ23" i="70"/>
  <c r="FR23" i="70"/>
  <c r="FS23" i="70"/>
  <c r="FT23" i="70"/>
  <c r="FU23" i="70"/>
  <c r="FV23" i="70"/>
  <c r="FW23" i="70"/>
  <c r="FX23" i="70"/>
  <c r="FY23" i="70"/>
  <c r="FZ23" i="70"/>
  <c r="GA23" i="70"/>
  <c r="GB23" i="70"/>
  <c r="GC23" i="70"/>
  <c r="U24" i="70"/>
  <c r="V24" i="70"/>
  <c r="X24" i="70"/>
  <c r="Y24" i="70"/>
  <c r="Z24" i="70"/>
  <c r="AA24" i="70"/>
  <c r="AI24" i="70"/>
  <c r="AJ24" i="70"/>
  <c r="AK24" i="70"/>
  <c r="AL24" i="70"/>
  <c r="AM24" i="70"/>
  <c r="AN24" i="70"/>
  <c r="AO24" i="70"/>
  <c r="AP24" i="70"/>
  <c r="AQ24" i="70"/>
  <c r="AR24" i="70"/>
  <c r="AS24" i="70"/>
  <c r="AT24" i="70"/>
  <c r="AU24" i="70"/>
  <c r="AV24" i="70"/>
  <c r="AW24" i="70"/>
  <c r="AX24" i="70"/>
  <c r="AY24" i="70"/>
  <c r="AZ24" i="70"/>
  <c r="BA24" i="70"/>
  <c r="BB24" i="70"/>
  <c r="BC24" i="70"/>
  <c r="BD24" i="70"/>
  <c r="BE24" i="70"/>
  <c r="BF24" i="70"/>
  <c r="BG24" i="70"/>
  <c r="BH24" i="70"/>
  <c r="BI24" i="70"/>
  <c r="BJ24" i="70"/>
  <c r="BK24" i="70"/>
  <c r="BL24" i="70"/>
  <c r="BM24" i="70"/>
  <c r="BN24" i="70"/>
  <c r="BO24" i="70"/>
  <c r="BP24" i="70"/>
  <c r="BQ24" i="70"/>
  <c r="BR24" i="70"/>
  <c r="BS24" i="70"/>
  <c r="BT24" i="70"/>
  <c r="BU24" i="70"/>
  <c r="BV24" i="70"/>
  <c r="BW24" i="70"/>
  <c r="BX24" i="70"/>
  <c r="BY24" i="70"/>
  <c r="BZ24" i="70"/>
  <c r="CA24" i="70"/>
  <c r="CB24" i="70"/>
  <c r="CC24" i="70"/>
  <c r="CD24" i="70"/>
  <c r="CE24" i="70"/>
  <c r="CF24" i="70"/>
  <c r="CG24" i="70"/>
  <c r="CH24" i="70"/>
  <c r="CI24" i="70"/>
  <c r="CJ24" i="70"/>
  <c r="CK24" i="70"/>
  <c r="CL24" i="70"/>
  <c r="CM24" i="70"/>
  <c r="CN24" i="70"/>
  <c r="CO24" i="70"/>
  <c r="CP24" i="70"/>
  <c r="CQ24" i="70"/>
  <c r="CR24" i="70"/>
  <c r="CS24" i="70"/>
  <c r="CT24" i="70"/>
  <c r="CU24" i="70"/>
  <c r="CV24" i="70"/>
  <c r="CW24" i="70"/>
  <c r="CX24" i="70"/>
  <c r="CY24" i="70"/>
  <c r="CZ24" i="70"/>
  <c r="DA24" i="70"/>
  <c r="DB24" i="70"/>
  <c r="DC24" i="70"/>
  <c r="DD24" i="70"/>
  <c r="DE24" i="70"/>
  <c r="DF24" i="70"/>
  <c r="DG24" i="70"/>
  <c r="DH24" i="70"/>
  <c r="DI24" i="70"/>
  <c r="DJ24" i="70"/>
  <c r="DK24" i="70"/>
  <c r="DL24" i="70"/>
  <c r="DM24" i="70"/>
  <c r="DN24" i="70"/>
  <c r="DO24" i="70"/>
  <c r="DP24" i="70"/>
  <c r="DQ24" i="70"/>
  <c r="DR24" i="70"/>
  <c r="DS24" i="70"/>
  <c r="DT24" i="70"/>
  <c r="DU24" i="70"/>
  <c r="DV24" i="70"/>
  <c r="DW24" i="70"/>
  <c r="DX24" i="70"/>
  <c r="DY24" i="70"/>
  <c r="DZ24" i="70"/>
  <c r="EA24" i="70"/>
  <c r="EB24" i="70"/>
  <c r="EC24" i="70"/>
  <c r="ED24" i="70"/>
  <c r="EE24" i="70"/>
  <c r="EF24" i="70"/>
  <c r="EG24" i="70"/>
  <c r="EH24" i="70"/>
  <c r="EI24" i="70"/>
  <c r="EJ24" i="70"/>
  <c r="EK24" i="70"/>
  <c r="EL24" i="70"/>
  <c r="EM24" i="70"/>
  <c r="EN24" i="70"/>
  <c r="EO24" i="70"/>
  <c r="EP24" i="70"/>
  <c r="EQ24" i="70"/>
  <c r="ER24" i="70"/>
  <c r="ES24" i="70"/>
  <c r="ET24" i="70"/>
  <c r="EU24" i="70"/>
  <c r="EV24" i="70"/>
  <c r="EW24" i="70"/>
  <c r="EX24" i="70"/>
  <c r="EY24" i="70"/>
  <c r="EZ24" i="70"/>
  <c r="FA24" i="70"/>
  <c r="FB24" i="70"/>
  <c r="FC24" i="70"/>
  <c r="FD24" i="70"/>
  <c r="FE24" i="70"/>
  <c r="FF24" i="70"/>
  <c r="FG24" i="70"/>
  <c r="FH24" i="70"/>
  <c r="FI24" i="70"/>
  <c r="FJ24" i="70"/>
  <c r="FK24" i="70"/>
  <c r="FL24" i="70"/>
  <c r="FM24" i="70"/>
  <c r="FN24" i="70"/>
  <c r="FO24" i="70"/>
  <c r="FP24" i="70"/>
  <c r="FQ24" i="70"/>
  <c r="FR24" i="70"/>
  <c r="FS24" i="70"/>
  <c r="FT24" i="70"/>
  <c r="FU24" i="70"/>
  <c r="FV24" i="70"/>
  <c r="FW24" i="70"/>
  <c r="FX24" i="70"/>
  <c r="FY24" i="70"/>
  <c r="FZ24" i="70"/>
  <c r="GA24" i="70"/>
  <c r="GB24" i="70"/>
  <c r="GC24" i="70"/>
  <c r="U25" i="70"/>
  <c r="V25" i="70"/>
  <c r="X25" i="70"/>
  <c r="Y25" i="70"/>
  <c r="Z25" i="70"/>
  <c r="AA25" i="70"/>
  <c r="AI25" i="70"/>
  <c r="AJ25" i="70"/>
  <c r="AK25" i="70"/>
  <c r="AL25" i="70"/>
  <c r="AM25" i="70"/>
  <c r="AN25" i="70"/>
  <c r="AO25" i="70"/>
  <c r="AP25" i="70"/>
  <c r="AQ25" i="70"/>
  <c r="AR25" i="70"/>
  <c r="AS25" i="70"/>
  <c r="AT25" i="70"/>
  <c r="AU25" i="70"/>
  <c r="AV25" i="70"/>
  <c r="AW25" i="70"/>
  <c r="AX25" i="70"/>
  <c r="AY25" i="70"/>
  <c r="AZ25" i="70"/>
  <c r="BA25" i="70"/>
  <c r="BB25" i="70"/>
  <c r="BC25" i="70"/>
  <c r="BD25" i="70"/>
  <c r="BE25" i="70"/>
  <c r="BF25" i="70"/>
  <c r="BG25" i="70"/>
  <c r="BH25" i="70"/>
  <c r="BI25" i="70"/>
  <c r="BJ25" i="70"/>
  <c r="BK25" i="70"/>
  <c r="BL25" i="70"/>
  <c r="BM25" i="70"/>
  <c r="BN25" i="70"/>
  <c r="BO25" i="70"/>
  <c r="BP25" i="70"/>
  <c r="BQ25" i="70"/>
  <c r="BR25" i="70"/>
  <c r="BS25" i="70"/>
  <c r="BT25" i="70"/>
  <c r="BU25" i="70"/>
  <c r="BV25" i="70"/>
  <c r="BW25" i="70"/>
  <c r="BX25" i="70"/>
  <c r="BY25" i="70"/>
  <c r="BZ25" i="70"/>
  <c r="CA25" i="70"/>
  <c r="CB25" i="70"/>
  <c r="CC25" i="70"/>
  <c r="CD25" i="70"/>
  <c r="CE25" i="70"/>
  <c r="CF25" i="70"/>
  <c r="CG25" i="70"/>
  <c r="CH25" i="70"/>
  <c r="CI25" i="70"/>
  <c r="CJ25" i="70"/>
  <c r="CK25" i="70"/>
  <c r="CL25" i="70"/>
  <c r="CM25" i="70"/>
  <c r="CN25" i="70"/>
  <c r="CO25" i="70"/>
  <c r="CP25" i="70"/>
  <c r="CQ25" i="70"/>
  <c r="CR25" i="70"/>
  <c r="CS25" i="70"/>
  <c r="CT25" i="70"/>
  <c r="CU25" i="70"/>
  <c r="CV25" i="70"/>
  <c r="CW25" i="70"/>
  <c r="CX25" i="70"/>
  <c r="CY25" i="70"/>
  <c r="CZ25" i="70"/>
  <c r="DA25" i="70"/>
  <c r="DB25" i="70"/>
  <c r="DC25" i="70"/>
  <c r="DD25" i="70"/>
  <c r="DE25" i="70"/>
  <c r="DF25" i="70"/>
  <c r="DG25" i="70"/>
  <c r="DH25" i="70"/>
  <c r="DI25" i="70"/>
  <c r="DJ25" i="70"/>
  <c r="DK25" i="70"/>
  <c r="DL25" i="70"/>
  <c r="DM25" i="70"/>
  <c r="DN25" i="70"/>
  <c r="DO25" i="70"/>
  <c r="DP25" i="70"/>
  <c r="DQ25" i="70"/>
  <c r="DR25" i="70"/>
  <c r="DS25" i="70"/>
  <c r="DT25" i="70"/>
  <c r="DU25" i="70"/>
  <c r="DV25" i="70"/>
  <c r="DW25" i="70"/>
  <c r="DX25" i="70"/>
  <c r="DY25" i="70"/>
  <c r="DZ25" i="70"/>
  <c r="EA25" i="70"/>
  <c r="EB25" i="70"/>
  <c r="EC25" i="70"/>
  <c r="ED25" i="70"/>
  <c r="EE25" i="70"/>
  <c r="EF25" i="70"/>
  <c r="EG25" i="70"/>
  <c r="EH25" i="70"/>
  <c r="EI25" i="70"/>
  <c r="EJ25" i="70"/>
  <c r="EK25" i="70"/>
  <c r="EL25" i="70"/>
  <c r="EM25" i="70"/>
  <c r="EN25" i="70"/>
  <c r="EO25" i="70"/>
  <c r="EP25" i="70"/>
  <c r="EQ25" i="70"/>
  <c r="ER25" i="70"/>
  <c r="ES25" i="70"/>
  <c r="ET25" i="70"/>
  <c r="EU25" i="70"/>
  <c r="EV25" i="70"/>
  <c r="EW25" i="70"/>
  <c r="EX25" i="70"/>
  <c r="EY25" i="70"/>
  <c r="EZ25" i="70"/>
  <c r="FA25" i="70"/>
  <c r="FB25" i="70"/>
  <c r="FC25" i="70"/>
  <c r="FD25" i="70"/>
  <c r="FE25" i="70"/>
  <c r="FF25" i="70"/>
  <c r="FG25" i="70"/>
  <c r="FH25" i="70"/>
  <c r="FI25" i="70"/>
  <c r="FJ25" i="70"/>
  <c r="FK25" i="70"/>
  <c r="FL25" i="70"/>
  <c r="FM25" i="70"/>
  <c r="FN25" i="70"/>
  <c r="FO25" i="70"/>
  <c r="FP25" i="70"/>
  <c r="FQ25" i="70"/>
  <c r="FR25" i="70"/>
  <c r="FS25" i="70"/>
  <c r="FT25" i="70"/>
  <c r="FU25" i="70"/>
  <c r="FV25" i="70"/>
  <c r="FW25" i="70"/>
  <c r="FX25" i="70"/>
  <c r="FY25" i="70"/>
  <c r="FZ25" i="70"/>
  <c r="GA25" i="70"/>
  <c r="GB25" i="70"/>
  <c r="GC25" i="70"/>
  <c r="U26" i="70"/>
  <c r="V26" i="70"/>
  <c r="X26" i="70"/>
  <c r="Y26" i="70"/>
  <c r="Z26" i="70"/>
  <c r="AA26" i="70"/>
  <c r="AI26" i="70"/>
  <c r="AJ26" i="70"/>
  <c r="AK26" i="70"/>
  <c r="AL26" i="70"/>
  <c r="AM26" i="70"/>
  <c r="AN26" i="70"/>
  <c r="AO26" i="70"/>
  <c r="AP26" i="70"/>
  <c r="AQ26" i="70"/>
  <c r="AR26" i="70"/>
  <c r="AS26" i="70"/>
  <c r="AT26" i="70"/>
  <c r="AU26" i="70"/>
  <c r="AV26" i="70"/>
  <c r="AW26" i="70"/>
  <c r="AX26" i="70"/>
  <c r="AY26" i="70"/>
  <c r="AZ26" i="70"/>
  <c r="BA26" i="70"/>
  <c r="BB26" i="70"/>
  <c r="BC26" i="70"/>
  <c r="BD26" i="70"/>
  <c r="BE26" i="70"/>
  <c r="BF26" i="70"/>
  <c r="BG26" i="70"/>
  <c r="BH26" i="70"/>
  <c r="BI26" i="70"/>
  <c r="BJ26" i="70"/>
  <c r="BK26" i="70"/>
  <c r="BL26" i="70"/>
  <c r="BM26" i="70"/>
  <c r="BN26" i="70"/>
  <c r="BO26" i="70"/>
  <c r="BP26" i="70"/>
  <c r="BQ26" i="70"/>
  <c r="BR26" i="70"/>
  <c r="BS26" i="70"/>
  <c r="BT26" i="70"/>
  <c r="BU26" i="70"/>
  <c r="BV26" i="70"/>
  <c r="BW26" i="70"/>
  <c r="BX26" i="70"/>
  <c r="BY26" i="70"/>
  <c r="BZ26" i="70"/>
  <c r="CA26" i="70"/>
  <c r="CB26" i="70"/>
  <c r="CC26" i="70"/>
  <c r="CD26" i="70"/>
  <c r="CE26" i="70"/>
  <c r="CF26" i="70"/>
  <c r="CG26" i="70"/>
  <c r="CH26" i="70"/>
  <c r="CI26" i="70"/>
  <c r="CJ26" i="70"/>
  <c r="CK26" i="70"/>
  <c r="CL26" i="70"/>
  <c r="CM26" i="70"/>
  <c r="CN26" i="70"/>
  <c r="CO26" i="70"/>
  <c r="CP26" i="70"/>
  <c r="CQ26" i="70"/>
  <c r="CR26" i="70"/>
  <c r="CS26" i="70"/>
  <c r="CT26" i="70"/>
  <c r="CU26" i="70"/>
  <c r="CV26" i="70"/>
  <c r="CW26" i="70"/>
  <c r="CX26" i="70"/>
  <c r="CY26" i="70"/>
  <c r="CZ26" i="70"/>
  <c r="DA26" i="70"/>
  <c r="DB26" i="70"/>
  <c r="DC26" i="70"/>
  <c r="DD26" i="70"/>
  <c r="DE26" i="70"/>
  <c r="DF26" i="70"/>
  <c r="DG26" i="70"/>
  <c r="DH26" i="70"/>
  <c r="DI26" i="70"/>
  <c r="DJ26" i="70"/>
  <c r="DK26" i="70"/>
  <c r="DL26" i="70"/>
  <c r="DM26" i="70"/>
  <c r="DN26" i="70"/>
  <c r="DO26" i="70"/>
  <c r="DP26" i="70"/>
  <c r="DQ26" i="70"/>
  <c r="DR26" i="70"/>
  <c r="DS26" i="70"/>
  <c r="DT26" i="70"/>
  <c r="DU26" i="70"/>
  <c r="DV26" i="70"/>
  <c r="DW26" i="70"/>
  <c r="DX26" i="70"/>
  <c r="DY26" i="70"/>
  <c r="DZ26" i="70"/>
  <c r="EA26" i="70"/>
  <c r="EB26" i="70"/>
  <c r="EC26" i="70"/>
  <c r="ED26" i="70"/>
  <c r="EE26" i="70"/>
  <c r="EF26" i="70"/>
  <c r="EG26" i="70"/>
  <c r="EH26" i="70"/>
  <c r="EI26" i="70"/>
  <c r="EJ26" i="70"/>
  <c r="EK26" i="70"/>
  <c r="EL26" i="70"/>
  <c r="EM26" i="70"/>
  <c r="EN26" i="70"/>
  <c r="EO26" i="70"/>
  <c r="EP26" i="70"/>
  <c r="EQ26" i="70"/>
  <c r="ER26" i="70"/>
  <c r="ES26" i="70"/>
  <c r="ET26" i="70"/>
  <c r="EU26" i="70"/>
  <c r="EV26" i="70"/>
  <c r="EW26" i="70"/>
  <c r="EX26" i="70"/>
  <c r="EY26" i="70"/>
  <c r="EZ26" i="70"/>
  <c r="FA26" i="70"/>
  <c r="FB26" i="70"/>
  <c r="FC26" i="70"/>
  <c r="FD26" i="70"/>
  <c r="FE26" i="70"/>
  <c r="FF26" i="70"/>
  <c r="FG26" i="70"/>
  <c r="FH26" i="70"/>
  <c r="FI26" i="70"/>
  <c r="FJ26" i="70"/>
  <c r="FK26" i="70"/>
  <c r="FL26" i="70"/>
  <c r="FM26" i="70"/>
  <c r="FN26" i="70"/>
  <c r="FO26" i="70"/>
  <c r="FP26" i="70"/>
  <c r="FQ26" i="70"/>
  <c r="FR26" i="70"/>
  <c r="FS26" i="70"/>
  <c r="FT26" i="70"/>
  <c r="FU26" i="70"/>
  <c r="FV26" i="70"/>
  <c r="FW26" i="70"/>
  <c r="FX26" i="70"/>
  <c r="FY26" i="70"/>
  <c r="FZ26" i="70"/>
  <c r="GA26" i="70"/>
  <c r="GB26" i="70"/>
  <c r="GC26" i="70"/>
  <c r="U27" i="70"/>
  <c r="V27" i="70"/>
  <c r="X27" i="70"/>
  <c r="Y27" i="70"/>
  <c r="Z27" i="70"/>
  <c r="AA27" i="70"/>
  <c r="AI27" i="70"/>
  <c r="AJ27" i="70"/>
  <c r="AK27" i="70"/>
  <c r="AL27" i="70"/>
  <c r="AM27" i="70"/>
  <c r="AN27" i="70"/>
  <c r="AO27" i="70"/>
  <c r="AP27" i="70"/>
  <c r="AQ27" i="70"/>
  <c r="AR27" i="70"/>
  <c r="AS27" i="70"/>
  <c r="AT27" i="70"/>
  <c r="AU27" i="70"/>
  <c r="AV27" i="70"/>
  <c r="AW27" i="70"/>
  <c r="AX27" i="70"/>
  <c r="AY27" i="70"/>
  <c r="AZ27" i="70"/>
  <c r="BA27" i="70"/>
  <c r="BB27" i="70"/>
  <c r="BC27" i="70"/>
  <c r="BD27" i="70"/>
  <c r="BE27" i="70"/>
  <c r="BF27" i="70"/>
  <c r="BG27" i="70"/>
  <c r="BH27" i="70"/>
  <c r="BI27" i="70"/>
  <c r="BJ27" i="70"/>
  <c r="BK27" i="70"/>
  <c r="BL27" i="70"/>
  <c r="BM27" i="70"/>
  <c r="BN27" i="70"/>
  <c r="BO27" i="70"/>
  <c r="BP27" i="70"/>
  <c r="BQ27" i="70"/>
  <c r="BR27" i="70"/>
  <c r="BS27" i="70"/>
  <c r="BT27" i="70"/>
  <c r="BU27" i="70"/>
  <c r="BV27" i="70"/>
  <c r="BW27" i="70"/>
  <c r="BX27" i="70"/>
  <c r="BY27" i="70"/>
  <c r="BZ27" i="70"/>
  <c r="CA27" i="70"/>
  <c r="CB27" i="70"/>
  <c r="CC27" i="70"/>
  <c r="CD27" i="70"/>
  <c r="CE27" i="70"/>
  <c r="CF27" i="70"/>
  <c r="CG27" i="70"/>
  <c r="CH27" i="70"/>
  <c r="CI27" i="70"/>
  <c r="CJ27" i="70"/>
  <c r="CK27" i="70"/>
  <c r="CL27" i="70"/>
  <c r="CM27" i="70"/>
  <c r="CN27" i="70"/>
  <c r="CO27" i="70"/>
  <c r="CP27" i="70"/>
  <c r="CQ27" i="70"/>
  <c r="CR27" i="70"/>
  <c r="CS27" i="70"/>
  <c r="CT27" i="70"/>
  <c r="CU27" i="70"/>
  <c r="CV27" i="70"/>
  <c r="CW27" i="70"/>
  <c r="CX27" i="70"/>
  <c r="CY27" i="70"/>
  <c r="CZ27" i="70"/>
  <c r="DA27" i="70"/>
  <c r="DB27" i="70"/>
  <c r="DC27" i="70"/>
  <c r="DD27" i="70"/>
  <c r="DE27" i="70"/>
  <c r="DF27" i="70"/>
  <c r="DG27" i="70"/>
  <c r="DH27" i="70"/>
  <c r="DI27" i="70"/>
  <c r="DJ27" i="70"/>
  <c r="DK27" i="70"/>
  <c r="DL27" i="70"/>
  <c r="DM27" i="70"/>
  <c r="DN27" i="70"/>
  <c r="DO27" i="70"/>
  <c r="DP27" i="70"/>
  <c r="DQ27" i="70"/>
  <c r="DR27" i="70"/>
  <c r="DS27" i="70"/>
  <c r="DT27" i="70"/>
  <c r="DU27" i="70"/>
  <c r="DV27" i="70"/>
  <c r="DW27" i="70"/>
  <c r="DX27" i="70"/>
  <c r="DY27" i="70"/>
  <c r="DZ27" i="70"/>
  <c r="EA27" i="70"/>
  <c r="EB27" i="70"/>
  <c r="EC27" i="70"/>
  <c r="ED27" i="70"/>
  <c r="EE27" i="70"/>
  <c r="EF27" i="70"/>
  <c r="EG27" i="70"/>
  <c r="EH27" i="70"/>
  <c r="EI27" i="70"/>
  <c r="EJ27" i="70"/>
  <c r="EK27" i="70"/>
  <c r="EL27" i="70"/>
  <c r="EM27" i="70"/>
  <c r="EN27" i="70"/>
  <c r="EO27" i="70"/>
  <c r="EP27" i="70"/>
  <c r="EQ27" i="70"/>
  <c r="ER27" i="70"/>
  <c r="ES27" i="70"/>
  <c r="ET27" i="70"/>
  <c r="EU27" i="70"/>
  <c r="EV27" i="70"/>
  <c r="EW27" i="70"/>
  <c r="EX27" i="70"/>
  <c r="EY27" i="70"/>
  <c r="EZ27" i="70"/>
  <c r="FA27" i="70"/>
  <c r="FB27" i="70"/>
  <c r="FC27" i="70"/>
  <c r="FD27" i="70"/>
  <c r="FE27" i="70"/>
  <c r="FF27" i="70"/>
  <c r="FG27" i="70"/>
  <c r="FH27" i="70"/>
  <c r="FI27" i="70"/>
  <c r="FJ27" i="70"/>
  <c r="FK27" i="70"/>
  <c r="FL27" i="70"/>
  <c r="FM27" i="70"/>
  <c r="FN27" i="70"/>
  <c r="FO27" i="70"/>
  <c r="FP27" i="70"/>
  <c r="FQ27" i="70"/>
  <c r="FR27" i="70"/>
  <c r="FS27" i="70"/>
  <c r="FT27" i="70"/>
  <c r="FU27" i="70"/>
  <c r="FV27" i="70"/>
  <c r="FW27" i="70"/>
  <c r="FX27" i="70"/>
  <c r="FY27" i="70"/>
  <c r="FZ27" i="70"/>
  <c r="GA27" i="70"/>
  <c r="GB27" i="70"/>
  <c r="GC27" i="70"/>
  <c r="U28" i="70"/>
  <c r="V28" i="70"/>
  <c r="X28" i="70"/>
  <c r="Y28" i="70"/>
  <c r="Z28" i="70"/>
  <c r="AA28" i="70"/>
  <c r="AI28" i="70"/>
  <c r="AJ28" i="70"/>
  <c r="AK28" i="70"/>
  <c r="AL28" i="70"/>
  <c r="AM28" i="70"/>
  <c r="AN28" i="70"/>
  <c r="AO28" i="70"/>
  <c r="AP28" i="70"/>
  <c r="AQ28" i="70"/>
  <c r="AR28" i="70"/>
  <c r="AS28" i="70"/>
  <c r="AT28" i="70"/>
  <c r="AU28" i="70"/>
  <c r="AV28" i="70"/>
  <c r="AW28" i="70"/>
  <c r="AX28" i="70"/>
  <c r="AY28" i="70"/>
  <c r="AZ28" i="70"/>
  <c r="BA28" i="70"/>
  <c r="BB28" i="70"/>
  <c r="BC28" i="70"/>
  <c r="BD28" i="70"/>
  <c r="BE28" i="70"/>
  <c r="BF28" i="70"/>
  <c r="BG28" i="70"/>
  <c r="BH28" i="70"/>
  <c r="BI28" i="70"/>
  <c r="BJ28" i="70"/>
  <c r="BK28" i="70"/>
  <c r="BL28" i="70"/>
  <c r="BM28" i="70"/>
  <c r="BN28" i="70"/>
  <c r="BO28" i="70"/>
  <c r="BP28" i="70"/>
  <c r="BQ28" i="70"/>
  <c r="BR28" i="70"/>
  <c r="BS28" i="70"/>
  <c r="BT28" i="70"/>
  <c r="BU28" i="70"/>
  <c r="BV28" i="70"/>
  <c r="BW28" i="70"/>
  <c r="BX28" i="70"/>
  <c r="BY28" i="70"/>
  <c r="BZ28" i="70"/>
  <c r="CA28" i="70"/>
  <c r="CB28" i="70"/>
  <c r="CC28" i="70"/>
  <c r="CD28" i="70"/>
  <c r="CE28" i="70"/>
  <c r="CF28" i="70"/>
  <c r="CG28" i="70"/>
  <c r="CH28" i="70"/>
  <c r="CI28" i="70"/>
  <c r="CJ28" i="70"/>
  <c r="CK28" i="70"/>
  <c r="CL28" i="70"/>
  <c r="CM28" i="70"/>
  <c r="CN28" i="70"/>
  <c r="CO28" i="70"/>
  <c r="CP28" i="70"/>
  <c r="CQ28" i="70"/>
  <c r="CR28" i="70"/>
  <c r="CS28" i="70"/>
  <c r="CT28" i="70"/>
  <c r="CU28" i="70"/>
  <c r="CV28" i="70"/>
  <c r="CW28" i="70"/>
  <c r="CX28" i="70"/>
  <c r="CY28" i="70"/>
  <c r="CZ28" i="70"/>
  <c r="DA28" i="70"/>
  <c r="DB28" i="70"/>
  <c r="DC28" i="70"/>
  <c r="DD28" i="70"/>
  <c r="DE28" i="70"/>
  <c r="DF28" i="70"/>
  <c r="DG28" i="70"/>
  <c r="DH28" i="70"/>
  <c r="DI28" i="70"/>
  <c r="DJ28" i="70"/>
  <c r="DK28" i="70"/>
  <c r="DL28" i="70"/>
  <c r="DM28" i="70"/>
  <c r="DN28" i="70"/>
  <c r="DO28" i="70"/>
  <c r="DP28" i="70"/>
  <c r="DQ28" i="70"/>
  <c r="DR28" i="70"/>
  <c r="DS28" i="70"/>
  <c r="DT28" i="70"/>
  <c r="DU28" i="70"/>
  <c r="DV28" i="70"/>
  <c r="DW28" i="70"/>
  <c r="DX28" i="70"/>
  <c r="DY28" i="70"/>
  <c r="DZ28" i="70"/>
  <c r="EA28" i="70"/>
  <c r="EB28" i="70"/>
  <c r="EC28" i="70"/>
  <c r="ED28" i="70"/>
  <c r="EE28" i="70"/>
  <c r="EF28" i="70"/>
  <c r="EG28" i="70"/>
  <c r="EH28" i="70"/>
  <c r="EI28" i="70"/>
  <c r="EJ28" i="70"/>
  <c r="EK28" i="70"/>
  <c r="EL28" i="70"/>
  <c r="EM28" i="70"/>
  <c r="EN28" i="70"/>
  <c r="EO28" i="70"/>
  <c r="EP28" i="70"/>
  <c r="EQ28" i="70"/>
  <c r="ER28" i="70"/>
  <c r="ES28" i="70"/>
  <c r="ET28" i="70"/>
  <c r="EU28" i="70"/>
  <c r="EV28" i="70"/>
  <c r="EW28" i="70"/>
  <c r="EX28" i="70"/>
  <c r="EY28" i="70"/>
  <c r="EZ28" i="70"/>
  <c r="FA28" i="70"/>
  <c r="FB28" i="70"/>
  <c r="FC28" i="70"/>
  <c r="FD28" i="70"/>
  <c r="FE28" i="70"/>
  <c r="FF28" i="70"/>
  <c r="FG28" i="70"/>
  <c r="FH28" i="70"/>
  <c r="FI28" i="70"/>
  <c r="FJ28" i="70"/>
  <c r="FK28" i="70"/>
  <c r="FL28" i="70"/>
  <c r="FM28" i="70"/>
  <c r="FN28" i="70"/>
  <c r="FO28" i="70"/>
  <c r="FP28" i="70"/>
  <c r="FQ28" i="70"/>
  <c r="FR28" i="70"/>
  <c r="FS28" i="70"/>
  <c r="FT28" i="70"/>
  <c r="FU28" i="70"/>
  <c r="FV28" i="70"/>
  <c r="FW28" i="70"/>
  <c r="FX28" i="70"/>
  <c r="FY28" i="70"/>
  <c r="FZ28" i="70"/>
  <c r="GA28" i="70"/>
  <c r="GB28" i="70"/>
  <c r="GC28" i="70"/>
  <c r="U29" i="70"/>
  <c r="V29" i="70"/>
  <c r="X29" i="70"/>
  <c r="Y29" i="70"/>
  <c r="Z29" i="70"/>
  <c r="AA29" i="70"/>
  <c r="AI29" i="70"/>
  <c r="AJ29" i="70"/>
  <c r="AK29" i="70"/>
  <c r="AL29" i="70"/>
  <c r="AM29" i="70"/>
  <c r="AN29" i="70"/>
  <c r="AO29" i="70"/>
  <c r="AP29" i="70"/>
  <c r="AQ29" i="70"/>
  <c r="AR29" i="70"/>
  <c r="AS29" i="70"/>
  <c r="AT29" i="70"/>
  <c r="AU29" i="70"/>
  <c r="AV29" i="70"/>
  <c r="AW29" i="70"/>
  <c r="AX29" i="70"/>
  <c r="AY29" i="70"/>
  <c r="AZ29" i="70"/>
  <c r="BA29" i="70"/>
  <c r="BB29" i="70"/>
  <c r="BC29" i="70"/>
  <c r="BD29" i="70"/>
  <c r="BE29" i="70"/>
  <c r="BF29" i="70"/>
  <c r="BG29" i="70"/>
  <c r="BH29" i="70"/>
  <c r="BI29" i="70"/>
  <c r="BJ29" i="70"/>
  <c r="BK29" i="70"/>
  <c r="BL29" i="70"/>
  <c r="BM29" i="70"/>
  <c r="BN29" i="70"/>
  <c r="BO29" i="70"/>
  <c r="BP29" i="70"/>
  <c r="BQ29" i="70"/>
  <c r="BR29" i="70"/>
  <c r="BS29" i="70"/>
  <c r="BT29" i="70"/>
  <c r="BU29" i="70"/>
  <c r="BV29" i="70"/>
  <c r="BW29" i="70"/>
  <c r="BX29" i="70"/>
  <c r="BY29" i="70"/>
  <c r="BZ29" i="70"/>
  <c r="CA29" i="70"/>
  <c r="CB29" i="70"/>
  <c r="CC29" i="70"/>
  <c r="CD29" i="70"/>
  <c r="CE29" i="70"/>
  <c r="CF29" i="70"/>
  <c r="CG29" i="70"/>
  <c r="CH29" i="70"/>
  <c r="CI29" i="70"/>
  <c r="CJ29" i="70"/>
  <c r="CK29" i="70"/>
  <c r="CL29" i="70"/>
  <c r="CM29" i="70"/>
  <c r="CN29" i="70"/>
  <c r="CO29" i="70"/>
  <c r="CP29" i="70"/>
  <c r="CQ29" i="70"/>
  <c r="CR29" i="70"/>
  <c r="CS29" i="70"/>
  <c r="CT29" i="70"/>
  <c r="CU29" i="70"/>
  <c r="CV29" i="70"/>
  <c r="CW29" i="70"/>
  <c r="CX29" i="70"/>
  <c r="CY29" i="70"/>
  <c r="CZ29" i="70"/>
  <c r="DA29" i="70"/>
  <c r="DB29" i="70"/>
  <c r="DC29" i="70"/>
  <c r="DD29" i="70"/>
  <c r="DE29" i="70"/>
  <c r="DF29" i="70"/>
  <c r="DG29" i="70"/>
  <c r="DH29" i="70"/>
  <c r="DI29" i="70"/>
  <c r="DJ29" i="70"/>
  <c r="DK29" i="70"/>
  <c r="DL29" i="70"/>
  <c r="DM29" i="70"/>
  <c r="DN29" i="70"/>
  <c r="DO29" i="70"/>
  <c r="DP29" i="70"/>
  <c r="DQ29" i="70"/>
  <c r="DR29" i="70"/>
  <c r="DS29" i="70"/>
  <c r="DT29" i="70"/>
  <c r="DU29" i="70"/>
  <c r="DV29" i="70"/>
  <c r="DW29" i="70"/>
  <c r="DX29" i="70"/>
  <c r="DY29" i="70"/>
  <c r="DZ29" i="70"/>
  <c r="EA29" i="70"/>
  <c r="EB29" i="70"/>
  <c r="EC29" i="70"/>
  <c r="ED29" i="70"/>
  <c r="EE29" i="70"/>
  <c r="EF29" i="70"/>
  <c r="EG29" i="70"/>
  <c r="EH29" i="70"/>
  <c r="EI29" i="70"/>
  <c r="EJ29" i="70"/>
  <c r="EK29" i="70"/>
  <c r="EL29" i="70"/>
  <c r="EM29" i="70"/>
  <c r="EN29" i="70"/>
  <c r="EO29" i="70"/>
  <c r="EP29" i="70"/>
  <c r="EQ29" i="70"/>
  <c r="ER29" i="70"/>
  <c r="ES29" i="70"/>
  <c r="ET29" i="70"/>
  <c r="EU29" i="70"/>
  <c r="EV29" i="70"/>
  <c r="EW29" i="70"/>
  <c r="EX29" i="70"/>
  <c r="EY29" i="70"/>
  <c r="EZ29" i="70"/>
  <c r="FA29" i="70"/>
  <c r="FB29" i="70"/>
  <c r="FC29" i="70"/>
  <c r="FD29" i="70"/>
  <c r="FE29" i="70"/>
  <c r="FF29" i="70"/>
  <c r="FG29" i="70"/>
  <c r="FH29" i="70"/>
  <c r="FI29" i="70"/>
  <c r="FJ29" i="70"/>
  <c r="FK29" i="70"/>
  <c r="FL29" i="70"/>
  <c r="FM29" i="70"/>
  <c r="FN29" i="70"/>
  <c r="FO29" i="70"/>
  <c r="FP29" i="70"/>
  <c r="FQ29" i="70"/>
  <c r="FR29" i="70"/>
  <c r="FS29" i="70"/>
  <c r="FT29" i="70"/>
  <c r="FU29" i="70"/>
  <c r="FV29" i="70"/>
  <c r="FW29" i="70"/>
  <c r="FX29" i="70"/>
  <c r="FY29" i="70"/>
  <c r="FZ29" i="70"/>
  <c r="GA29" i="70"/>
  <c r="GB29" i="70"/>
  <c r="GC29" i="70"/>
  <c r="U30" i="70"/>
  <c r="V30" i="70"/>
  <c r="X30" i="70"/>
  <c r="Y30" i="70"/>
  <c r="Z30" i="70"/>
  <c r="AA30" i="70"/>
  <c r="AI30" i="70"/>
  <c r="AJ30" i="70"/>
  <c r="AK30" i="70"/>
  <c r="AL30" i="70"/>
  <c r="AM30" i="70"/>
  <c r="AN30" i="70"/>
  <c r="AO30" i="70"/>
  <c r="AP30" i="70"/>
  <c r="AQ30" i="70"/>
  <c r="AR30" i="70"/>
  <c r="AS30" i="70"/>
  <c r="AT30" i="70"/>
  <c r="AU30" i="70"/>
  <c r="AV30" i="70"/>
  <c r="AW30" i="70"/>
  <c r="AX30" i="70"/>
  <c r="AY30" i="70"/>
  <c r="AZ30" i="70"/>
  <c r="BA30" i="70"/>
  <c r="BB30" i="70"/>
  <c r="BC30" i="70"/>
  <c r="BD30" i="70"/>
  <c r="BE30" i="70"/>
  <c r="BF30" i="70"/>
  <c r="BG30" i="70"/>
  <c r="BH30" i="70"/>
  <c r="BI30" i="70"/>
  <c r="BJ30" i="70"/>
  <c r="BK30" i="70"/>
  <c r="BL30" i="70"/>
  <c r="BM30" i="70"/>
  <c r="BN30" i="70"/>
  <c r="BO30" i="70"/>
  <c r="BP30" i="70"/>
  <c r="BQ30" i="70"/>
  <c r="BR30" i="70"/>
  <c r="BS30" i="70"/>
  <c r="BT30" i="70"/>
  <c r="BU30" i="70"/>
  <c r="BV30" i="70"/>
  <c r="BW30" i="70"/>
  <c r="BX30" i="70"/>
  <c r="BY30" i="70"/>
  <c r="BZ30" i="70"/>
  <c r="CA30" i="70"/>
  <c r="CB30" i="70"/>
  <c r="CC30" i="70"/>
  <c r="CD30" i="70"/>
  <c r="CE30" i="70"/>
  <c r="CF30" i="70"/>
  <c r="CG30" i="70"/>
  <c r="CH30" i="70"/>
  <c r="CI30" i="70"/>
  <c r="CJ30" i="70"/>
  <c r="CK30" i="70"/>
  <c r="CL30" i="70"/>
  <c r="CM30" i="70"/>
  <c r="CN30" i="70"/>
  <c r="CO30" i="70"/>
  <c r="CP30" i="70"/>
  <c r="CQ30" i="70"/>
  <c r="CR30" i="70"/>
  <c r="CS30" i="70"/>
  <c r="CT30" i="70"/>
  <c r="CU30" i="70"/>
  <c r="CV30" i="70"/>
  <c r="CW30" i="70"/>
  <c r="CX30" i="70"/>
  <c r="CY30" i="70"/>
  <c r="CZ30" i="70"/>
  <c r="DA30" i="70"/>
  <c r="DB30" i="70"/>
  <c r="DC30" i="70"/>
  <c r="DD30" i="70"/>
  <c r="DE30" i="70"/>
  <c r="DF30" i="70"/>
  <c r="DG30" i="70"/>
  <c r="DH30" i="70"/>
  <c r="DI30" i="70"/>
  <c r="DJ30" i="70"/>
  <c r="DK30" i="70"/>
  <c r="DL30" i="70"/>
  <c r="DM30" i="70"/>
  <c r="DN30" i="70"/>
  <c r="DO30" i="70"/>
  <c r="DP30" i="70"/>
  <c r="DQ30" i="70"/>
  <c r="DR30" i="70"/>
  <c r="DS30" i="70"/>
  <c r="DT30" i="70"/>
  <c r="DU30" i="70"/>
  <c r="DV30" i="70"/>
  <c r="DW30" i="70"/>
  <c r="DX30" i="70"/>
  <c r="DY30" i="70"/>
  <c r="DZ30" i="70"/>
  <c r="EA30" i="70"/>
  <c r="EB30" i="70"/>
  <c r="EC30" i="70"/>
  <c r="ED30" i="70"/>
  <c r="EE30" i="70"/>
  <c r="EF30" i="70"/>
  <c r="EG30" i="70"/>
  <c r="EH30" i="70"/>
  <c r="EI30" i="70"/>
  <c r="EJ30" i="70"/>
  <c r="EK30" i="70"/>
  <c r="EL30" i="70"/>
  <c r="EM30" i="70"/>
  <c r="EN30" i="70"/>
  <c r="EO30" i="70"/>
  <c r="EP30" i="70"/>
  <c r="EQ30" i="70"/>
  <c r="ER30" i="70"/>
  <c r="ES30" i="70"/>
  <c r="ET30" i="70"/>
  <c r="EU30" i="70"/>
  <c r="EV30" i="70"/>
  <c r="EW30" i="70"/>
  <c r="EX30" i="70"/>
  <c r="EY30" i="70"/>
  <c r="EZ30" i="70"/>
  <c r="FA30" i="70"/>
  <c r="FB30" i="70"/>
  <c r="FC30" i="70"/>
  <c r="FD30" i="70"/>
  <c r="FE30" i="70"/>
  <c r="FF30" i="70"/>
  <c r="FG30" i="70"/>
  <c r="FH30" i="70"/>
  <c r="FI30" i="70"/>
  <c r="FJ30" i="70"/>
  <c r="FK30" i="70"/>
  <c r="FL30" i="70"/>
  <c r="FM30" i="70"/>
  <c r="FN30" i="70"/>
  <c r="FO30" i="70"/>
  <c r="FP30" i="70"/>
  <c r="FQ30" i="70"/>
  <c r="FR30" i="70"/>
  <c r="FS30" i="70"/>
  <c r="FT30" i="70"/>
  <c r="FU30" i="70"/>
  <c r="FV30" i="70"/>
  <c r="FW30" i="70"/>
  <c r="FX30" i="70"/>
  <c r="FY30" i="70"/>
  <c r="FZ30" i="70"/>
  <c r="GA30" i="70"/>
  <c r="GB30" i="70"/>
  <c r="GC30" i="70"/>
  <c r="U31" i="70"/>
  <c r="V31" i="70"/>
  <c r="X31" i="70"/>
  <c r="Y31" i="70"/>
  <c r="Z31" i="70"/>
  <c r="AA31" i="70"/>
  <c r="AI31" i="70"/>
  <c r="AJ31" i="70"/>
  <c r="AK31" i="70"/>
  <c r="AL31" i="70"/>
  <c r="AM31" i="70"/>
  <c r="AN31" i="70"/>
  <c r="AO31" i="70"/>
  <c r="AP31" i="70"/>
  <c r="AQ31" i="70"/>
  <c r="AR31" i="70"/>
  <c r="AS31" i="70"/>
  <c r="AT31" i="70"/>
  <c r="AU31" i="70"/>
  <c r="AV31" i="70"/>
  <c r="AW31" i="70"/>
  <c r="AX31" i="70"/>
  <c r="AY31" i="70"/>
  <c r="AZ31" i="70"/>
  <c r="BA31" i="70"/>
  <c r="BB31" i="70"/>
  <c r="BC31" i="70"/>
  <c r="BD31" i="70"/>
  <c r="BE31" i="70"/>
  <c r="BF31" i="70"/>
  <c r="BG31" i="70"/>
  <c r="BH31" i="70"/>
  <c r="BI31" i="70"/>
  <c r="BJ31" i="70"/>
  <c r="BK31" i="70"/>
  <c r="BL31" i="70"/>
  <c r="BM31" i="70"/>
  <c r="BN31" i="70"/>
  <c r="BO31" i="70"/>
  <c r="BP31" i="70"/>
  <c r="BQ31" i="70"/>
  <c r="BR31" i="70"/>
  <c r="BS31" i="70"/>
  <c r="BT31" i="70"/>
  <c r="BU31" i="70"/>
  <c r="BV31" i="70"/>
  <c r="BW31" i="70"/>
  <c r="BX31" i="70"/>
  <c r="BY31" i="70"/>
  <c r="BZ31" i="70"/>
  <c r="CA31" i="70"/>
  <c r="CB31" i="70"/>
  <c r="CC31" i="70"/>
  <c r="CD31" i="70"/>
  <c r="CE31" i="70"/>
  <c r="CF31" i="70"/>
  <c r="CG31" i="70"/>
  <c r="CH31" i="70"/>
  <c r="CI31" i="70"/>
  <c r="CJ31" i="70"/>
  <c r="CK31" i="70"/>
  <c r="CL31" i="70"/>
  <c r="CM31" i="70"/>
  <c r="CN31" i="70"/>
  <c r="CO31" i="70"/>
  <c r="CP31" i="70"/>
  <c r="CQ31" i="70"/>
  <c r="CR31" i="70"/>
  <c r="CS31" i="70"/>
  <c r="CT31" i="70"/>
  <c r="CU31" i="70"/>
  <c r="CV31" i="70"/>
  <c r="CW31" i="70"/>
  <c r="CX31" i="70"/>
  <c r="CY31" i="70"/>
  <c r="CZ31" i="70"/>
  <c r="DA31" i="70"/>
  <c r="DB31" i="70"/>
  <c r="DC31" i="70"/>
  <c r="DD31" i="70"/>
  <c r="DE31" i="70"/>
  <c r="DF31" i="70"/>
  <c r="DG31" i="70"/>
  <c r="DH31" i="70"/>
  <c r="DI31" i="70"/>
  <c r="DJ31" i="70"/>
  <c r="DK31" i="70"/>
  <c r="DL31" i="70"/>
  <c r="DM31" i="70"/>
  <c r="DN31" i="70"/>
  <c r="DO31" i="70"/>
  <c r="DP31" i="70"/>
  <c r="DQ31" i="70"/>
  <c r="DR31" i="70"/>
  <c r="DS31" i="70"/>
  <c r="DT31" i="70"/>
  <c r="DU31" i="70"/>
  <c r="DV31" i="70"/>
  <c r="DW31" i="70"/>
  <c r="DX31" i="70"/>
  <c r="DY31" i="70"/>
  <c r="DZ31" i="70"/>
  <c r="EA31" i="70"/>
  <c r="EB31" i="70"/>
  <c r="EC31" i="70"/>
  <c r="ED31" i="70"/>
  <c r="EE31" i="70"/>
  <c r="EF31" i="70"/>
  <c r="EG31" i="70"/>
  <c r="EH31" i="70"/>
  <c r="EI31" i="70"/>
  <c r="EJ31" i="70"/>
  <c r="EK31" i="70"/>
  <c r="EL31" i="70"/>
  <c r="EM31" i="70"/>
  <c r="EN31" i="70"/>
  <c r="EO31" i="70"/>
  <c r="EP31" i="70"/>
  <c r="EQ31" i="70"/>
  <c r="ER31" i="70"/>
  <c r="ES31" i="70"/>
  <c r="ET31" i="70"/>
  <c r="EU31" i="70"/>
  <c r="EV31" i="70"/>
  <c r="EW31" i="70"/>
  <c r="EX31" i="70"/>
  <c r="EY31" i="70"/>
  <c r="EZ31" i="70"/>
  <c r="FA31" i="70"/>
  <c r="FB31" i="70"/>
  <c r="FC31" i="70"/>
  <c r="FD31" i="70"/>
  <c r="FE31" i="70"/>
  <c r="FF31" i="70"/>
  <c r="FG31" i="70"/>
  <c r="FH31" i="70"/>
  <c r="FI31" i="70"/>
  <c r="FJ31" i="70"/>
  <c r="FK31" i="70"/>
  <c r="FL31" i="70"/>
  <c r="FM31" i="70"/>
  <c r="FN31" i="70"/>
  <c r="FO31" i="70"/>
  <c r="FP31" i="70"/>
  <c r="FQ31" i="70"/>
  <c r="FR31" i="70"/>
  <c r="FS31" i="70"/>
  <c r="FT31" i="70"/>
  <c r="FU31" i="70"/>
  <c r="FV31" i="70"/>
  <c r="FW31" i="70"/>
  <c r="FX31" i="70"/>
  <c r="FY31" i="70"/>
  <c r="FZ31" i="70"/>
  <c r="GA31" i="70"/>
  <c r="GB31" i="70"/>
  <c r="GC31" i="70"/>
  <c r="U32" i="70"/>
  <c r="V32" i="70"/>
  <c r="X32" i="70"/>
  <c r="Y32" i="70"/>
  <c r="Z32" i="70"/>
  <c r="AA32" i="70"/>
  <c r="AI32" i="70"/>
  <c r="AJ32" i="70"/>
  <c r="AK32" i="70"/>
  <c r="AL32" i="70"/>
  <c r="AM32" i="70"/>
  <c r="AN32" i="70"/>
  <c r="AO32" i="70"/>
  <c r="AP32" i="70"/>
  <c r="AQ32" i="70"/>
  <c r="AR32" i="70"/>
  <c r="AS32" i="70"/>
  <c r="AT32" i="70"/>
  <c r="AU32" i="70"/>
  <c r="AV32" i="70"/>
  <c r="AW32" i="70"/>
  <c r="AX32" i="70"/>
  <c r="AY32" i="70"/>
  <c r="AZ32" i="70"/>
  <c r="BA32" i="70"/>
  <c r="BB32" i="70"/>
  <c r="BC32" i="70"/>
  <c r="BD32" i="70"/>
  <c r="BE32" i="70"/>
  <c r="BF32" i="70"/>
  <c r="BG32" i="70"/>
  <c r="BH32" i="70"/>
  <c r="BI32" i="70"/>
  <c r="BJ32" i="70"/>
  <c r="BK32" i="70"/>
  <c r="BL32" i="70"/>
  <c r="BM32" i="70"/>
  <c r="BN32" i="70"/>
  <c r="BO32" i="70"/>
  <c r="BP32" i="70"/>
  <c r="BQ32" i="70"/>
  <c r="BR32" i="70"/>
  <c r="BS32" i="70"/>
  <c r="BT32" i="70"/>
  <c r="BU32" i="70"/>
  <c r="BV32" i="70"/>
  <c r="BW32" i="70"/>
  <c r="BX32" i="70"/>
  <c r="BY32" i="70"/>
  <c r="BZ32" i="70"/>
  <c r="CA32" i="70"/>
  <c r="CB32" i="70"/>
  <c r="CC32" i="70"/>
  <c r="CD32" i="70"/>
  <c r="CE32" i="70"/>
  <c r="CF32" i="70"/>
  <c r="CG32" i="70"/>
  <c r="CH32" i="70"/>
  <c r="CI32" i="70"/>
  <c r="CJ32" i="70"/>
  <c r="CK32" i="70"/>
  <c r="CL32" i="70"/>
  <c r="CM32" i="70"/>
  <c r="CN32" i="70"/>
  <c r="CO32" i="70"/>
  <c r="CP32" i="70"/>
  <c r="CQ32" i="70"/>
  <c r="CR32" i="70"/>
  <c r="CS32" i="70"/>
  <c r="CT32" i="70"/>
  <c r="CU32" i="70"/>
  <c r="CV32" i="70"/>
  <c r="CW32" i="70"/>
  <c r="CX32" i="70"/>
  <c r="CY32" i="70"/>
  <c r="CZ32" i="70"/>
  <c r="DA32" i="70"/>
  <c r="DB32" i="70"/>
  <c r="DC32" i="70"/>
  <c r="DD32" i="70"/>
  <c r="DE32" i="70"/>
  <c r="DF32" i="70"/>
  <c r="DG32" i="70"/>
  <c r="DH32" i="70"/>
  <c r="DI32" i="70"/>
  <c r="DJ32" i="70"/>
  <c r="DK32" i="70"/>
  <c r="DL32" i="70"/>
  <c r="DM32" i="70"/>
  <c r="DN32" i="70"/>
  <c r="DO32" i="70"/>
  <c r="DP32" i="70"/>
  <c r="DQ32" i="70"/>
  <c r="DR32" i="70"/>
  <c r="DS32" i="70"/>
  <c r="DT32" i="70"/>
  <c r="DU32" i="70"/>
  <c r="DV32" i="70"/>
  <c r="DW32" i="70"/>
  <c r="DX32" i="70"/>
  <c r="DY32" i="70"/>
  <c r="DZ32" i="70"/>
  <c r="EA32" i="70"/>
  <c r="EB32" i="70"/>
  <c r="EC32" i="70"/>
  <c r="ED32" i="70"/>
  <c r="EE32" i="70"/>
  <c r="EF32" i="70"/>
  <c r="EG32" i="70"/>
  <c r="EH32" i="70"/>
  <c r="EI32" i="70"/>
  <c r="EJ32" i="70"/>
  <c r="EK32" i="70"/>
  <c r="EL32" i="70"/>
  <c r="EM32" i="70"/>
  <c r="EN32" i="70"/>
  <c r="EO32" i="70"/>
  <c r="EP32" i="70"/>
  <c r="EQ32" i="70"/>
  <c r="ER32" i="70"/>
  <c r="ES32" i="70"/>
  <c r="ET32" i="70"/>
  <c r="EU32" i="70"/>
  <c r="EV32" i="70"/>
  <c r="EW32" i="70"/>
  <c r="EX32" i="70"/>
  <c r="EY32" i="70"/>
  <c r="EZ32" i="70"/>
  <c r="FA32" i="70"/>
  <c r="FB32" i="70"/>
  <c r="FC32" i="70"/>
  <c r="FD32" i="70"/>
  <c r="FE32" i="70"/>
  <c r="FF32" i="70"/>
  <c r="FG32" i="70"/>
  <c r="FH32" i="70"/>
  <c r="FI32" i="70"/>
  <c r="FJ32" i="70"/>
  <c r="FK32" i="70"/>
  <c r="FL32" i="70"/>
  <c r="FM32" i="70"/>
  <c r="FN32" i="70"/>
  <c r="FO32" i="70"/>
  <c r="FP32" i="70"/>
  <c r="FQ32" i="70"/>
  <c r="FR32" i="70"/>
  <c r="FS32" i="70"/>
  <c r="FT32" i="70"/>
  <c r="FU32" i="70"/>
  <c r="FV32" i="70"/>
  <c r="FW32" i="70"/>
  <c r="FX32" i="70"/>
  <c r="FY32" i="70"/>
  <c r="FZ32" i="70"/>
  <c r="GA32" i="70"/>
  <c r="GB32" i="70"/>
  <c r="GC32" i="70"/>
  <c r="U33" i="70"/>
  <c r="V33" i="70"/>
  <c r="X33" i="70"/>
  <c r="Y33" i="70"/>
  <c r="Z33" i="70"/>
  <c r="AA33" i="70"/>
  <c r="AI33" i="70"/>
  <c r="AJ33" i="70"/>
  <c r="AK33" i="70"/>
  <c r="AL33" i="70"/>
  <c r="AM33" i="70"/>
  <c r="AN33" i="70"/>
  <c r="AO33" i="70"/>
  <c r="AP33" i="70"/>
  <c r="AQ33" i="70"/>
  <c r="AR33" i="70"/>
  <c r="AS33" i="70"/>
  <c r="AT33" i="70"/>
  <c r="AU33" i="70"/>
  <c r="AV33" i="70"/>
  <c r="AW33" i="70"/>
  <c r="AX33" i="70"/>
  <c r="AY33" i="70"/>
  <c r="AZ33" i="70"/>
  <c r="BA33" i="70"/>
  <c r="BB33" i="70"/>
  <c r="BC33" i="70"/>
  <c r="BD33" i="70"/>
  <c r="BE33" i="70"/>
  <c r="BF33" i="70"/>
  <c r="BG33" i="70"/>
  <c r="BH33" i="70"/>
  <c r="BI33" i="70"/>
  <c r="BJ33" i="70"/>
  <c r="BK33" i="70"/>
  <c r="BL33" i="70"/>
  <c r="BM33" i="70"/>
  <c r="BN33" i="70"/>
  <c r="BO33" i="70"/>
  <c r="BP33" i="70"/>
  <c r="BQ33" i="70"/>
  <c r="BR33" i="70"/>
  <c r="BS33" i="70"/>
  <c r="BT33" i="70"/>
  <c r="BU33" i="70"/>
  <c r="BV33" i="70"/>
  <c r="BW33" i="70"/>
  <c r="BX33" i="70"/>
  <c r="BY33" i="70"/>
  <c r="BZ33" i="70"/>
  <c r="CA33" i="70"/>
  <c r="CB33" i="70"/>
  <c r="CC33" i="70"/>
  <c r="CD33" i="70"/>
  <c r="CE33" i="70"/>
  <c r="CF33" i="70"/>
  <c r="CG33" i="70"/>
  <c r="CH33" i="70"/>
  <c r="CI33" i="70"/>
  <c r="CJ33" i="70"/>
  <c r="CK33" i="70"/>
  <c r="CL33" i="70"/>
  <c r="CM33" i="70"/>
  <c r="CN33" i="70"/>
  <c r="CO33" i="70"/>
  <c r="CP33" i="70"/>
  <c r="CQ33" i="70"/>
  <c r="CR33" i="70"/>
  <c r="CS33" i="70"/>
  <c r="CT33" i="70"/>
  <c r="CU33" i="70"/>
  <c r="CV33" i="70"/>
  <c r="CW33" i="70"/>
  <c r="CX33" i="70"/>
  <c r="CY33" i="70"/>
  <c r="CZ33" i="70"/>
  <c r="DA33" i="70"/>
  <c r="DB33" i="70"/>
  <c r="DC33" i="70"/>
  <c r="DD33" i="70"/>
  <c r="DE33" i="70"/>
  <c r="DF33" i="70"/>
  <c r="DG33" i="70"/>
  <c r="DH33" i="70"/>
  <c r="DI33" i="70"/>
  <c r="DJ33" i="70"/>
  <c r="DK33" i="70"/>
  <c r="DL33" i="70"/>
  <c r="DM33" i="70"/>
  <c r="DN33" i="70"/>
  <c r="DO33" i="70"/>
  <c r="DP33" i="70"/>
  <c r="DQ33" i="70"/>
  <c r="DR33" i="70"/>
  <c r="DS33" i="70"/>
  <c r="DT33" i="70"/>
  <c r="DU33" i="70"/>
  <c r="DV33" i="70"/>
  <c r="DW33" i="70"/>
  <c r="DX33" i="70"/>
  <c r="DY33" i="70"/>
  <c r="DZ33" i="70"/>
  <c r="EA33" i="70"/>
  <c r="EB33" i="70"/>
  <c r="EC33" i="70"/>
  <c r="ED33" i="70"/>
  <c r="EE33" i="70"/>
  <c r="EF33" i="70"/>
  <c r="EG33" i="70"/>
  <c r="EH33" i="70"/>
  <c r="EI33" i="70"/>
  <c r="EJ33" i="70"/>
  <c r="EK33" i="70"/>
  <c r="EL33" i="70"/>
  <c r="EM33" i="70"/>
  <c r="EN33" i="70"/>
  <c r="EO33" i="70"/>
  <c r="EP33" i="70"/>
  <c r="EQ33" i="70"/>
  <c r="ER33" i="70"/>
  <c r="ES33" i="70"/>
  <c r="ET33" i="70"/>
  <c r="EU33" i="70"/>
  <c r="EV33" i="70"/>
  <c r="EW33" i="70"/>
  <c r="EX33" i="70"/>
  <c r="EY33" i="70"/>
  <c r="EZ33" i="70"/>
  <c r="FA33" i="70"/>
  <c r="FB33" i="70"/>
  <c r="FC33" i="70"/>
  <c r="FD33" i="70"/>
  <c r="FE33" i="70"/>
  <c r="FF33" i="70"/>
  <c r="FG33" i="70"/>
  <c r="FH33" i="70"/>
  <c r="FI33" i="70"/>
  <c r="FJ33" i="70"/>
  <c r="FK33" i="70"/>
  <c r="FL33" i="70"/>
  <c r="FM33" i="70"/>
  <c r="FN33" i="70"/>
  <c r="FO33" i="70"/>
  <c r="FP33" i="70"/>
  <c r="FQ33" i="70"/>
  <c r="FR33" i="70"/>
  <c r="FS33" i="70"/>
  <c r="FT33" i="70"/>
  <c r="FU33" i="70"/>
  <c r="FV33" i="70"/>
  <c r="FW33" i="70"/>
  <c r="FX33" i="70"/>
  <c r="FY33" i="70"/>
  <c r="FZ33" i="70"/>
  <c r="GA33" i="70"/>
  <c r="GB33" i="70"/>
  <c r="GC33" i="70"/>
  <c r="U34" i="70"/>
  <c r="V34" i="70"/>
  <c r="X34" i="70"/>
  <c r="Y34" i="70"/>
  <c r="Z34" i="70"/>
  <c r="AA34" i="70"/>
  <c r="AI34" i="70"/>
  <c r="AJ34" i="70"/>
  <c r="AK34" i="70"/>
  <c r="AL34" i="70"/>
  <c r="AM34" i="70"/>
  <c r="AN34" i="70"/>
  <c r="AO34" i="70"/>
  <c r="AP34" i="70"/>
  <c r="AQ34" i="70"/>
  <c r="AR34" i="70"/>
  <c r="AS34" i="70"/>
  <c r="AT34" i="70"/>
  <c r="AU34" i="70"/>
  <c r="AV34" i="70"/>
  <c r="AW34" i="70"/>
  <c r="AX34" i="70"/>
  <c r="AY34" i="70"/>
  <c r="AZ34" i="70"/>
  <c r="BA34" i="70"/>
  <c r="BB34" i="70"/>
  <c r="BC34" i="70"/>
  <c r="BD34" i="70"/>
  <c r="BE34" i="70"/>
  <c r="BF34" i="70"/>
  <c r="BG34" i="70"/>
  <c r="BH34" i="70"/>
  <c r="BI34" i="70"/>
  <c r="BJ34" i="70"/>
  <c r="BK34" i="70"/>
  <c r="BL34" i="70"/>
  <c r="BM34" i="70"/>
  <c r="BN34" i="70"/>
  <c r="BO34" i="70"/>
  <c r="BP34" i="70"/>
  <c r="BQ34" i="70"/>
  <c r="BR34" i="70"/>
  <c r="BS34" i="70"/>
  <c r="BT34" i="70"/>
  <c r="BU34" i="70"/>
  <c r="BV34" i="70"/>
  <c r="BW34" i="70"/>
  <c r="BX34" i="70"/>
  <c r="BY34" i="70"/>
  <c r="BZ34" i="70"/>
  <c r="CA34" i="70"/>
  <c r="CB34" i="70"/>
  <c r="CC34" i="70"/>
  <c r="CD34" i="70"/>
  <c r="CE34" i="70"/>
  <c r="CF34" i="70"/>
  <c r="CG34" i="70"/>
  <c r="CH34" i="70"/>
  <c r="CI34" i="70"/>
  <c r="CJ34" i="70"/>
  <c r="CK34" i="70"/>
  <c r="CL34" i="70"/>
  <c r="CM34" i="70"/>
  <c r="CN34" i="70"/>
  <c r="CO34" i="70"/>
  <c r="CP34" i="70"/>
  <c r="CQ34" i="70"/>
  <c r="CR34" i="70"/>
  <c r="CS34" i="70"/>
  <c r="CT34" i="70"/>
  <c r="CU34" i="70"/>
  <c r="CV34" i="70"/>
  <c r="CW34" i="70"/>
  <c r="CX34" i="70"/>
  <c r="CY34" i="70"/>
  <c r="CZ34" i="70"/>
  <c r="DA34" i="70"/>
  <c r="DB34" i="70"/>
  <c r="DC34" i="70"/>
  <c r="DD34" i="70"/>
  <c r="DE34" i="70"/>
  <c r="DF34" i="70"/>
  <c r="DG34" i="70"/>
  <c r="DH34" i="70"/>
  <c r="DI34" i="70"/>
  <c r="DJ34" i="70"/>
  <c r="DK34" i="70"/>
  <c r="DL34" i="70"/>
  <c r="DM34" i="70"/>
  <c r="DN34" i="70"/>
  <c r="DO34" i="70"/>
  <c r="DP34" i="70"/>
  <c r="DQ34" i="70"/>
  <c r="DR34" i="70"/>
  <c r="DS34" i="70"/>
  <c r="DT34" i="70"/>
  <c r="DU34" i="70"/>
  <c r="DV34" i="70"/>
  <c r="DW34" i="70"/>
  <c r="DX34" i="70"/>
  <c r="DY34" i="70"/>
  <c r="DZ34" i="70"/>
  <c r="EA34" i="70"/>
  <c r="EB34" i="70"/>
  <c r="EC34" i="70"/>
  <c r="ED34" i="70"/>
  <c r="EE34" i="70"/>
  <c r="EF34" i="70"/>
  <c r="EG34" i="70"/>
  <c r="EH34" i="70"/>
  <c r="EI34" i="70"/>
  <c r="EJ34" i="70"/>
  <c r="EK34" i="70"/>
  <c r="EL34" i="70"/>
  <c r="EM34" i="70"/>
  <c r="EN34" i="70"/>
  <c r="EO34" i="70"/>
  <c r="EP34" i="70"/>
  <c r="EQ34" i="70"/>
  <c r="ER34" i="70"/>
  <c r="ES34" i="70"/>
  <c r="ET34" i="70"/>
  <c r="EU34" i="70"/>
  <c r="EV34" i="70"/>
  <c r="EW34" i="70"/>
  <c r="EX34" i="70"/>
  <c r="EY34" i="70"/>
  <c r="EZ34" i="70"/>
  <c r="FA34" i="70"/>
  <c r="FB34" i="70"/>
  <c r="FC34" i="70"/>
  <c r="FD34" i="70"/>
  <c r="FE34" i="70"/>
  <c r="FF34" i="70"/>
  <c r="FG34" i="70"/>
  <c r="FH34" i="70"/>
  <c r="FI34" i="70"/>
  <c r="FJ34" i="70"/>
  <c r="FK34" i="70"/>
  <c r="FL34" i="70"/>
  <c r="FM34" i="70"/>
  <c r="FN34" i="70"/>
  <c r="FO34" i="70"/>
  <c r="FP34" i="70"/>
  <c r="FQ34" i="70"/>
  <c r="FR34" i="70"/>
  <c r="FS34" i="70"/>
  <c r="FT34" i="70"/>
  <c r="FU34" i="70"/>
  <c r="FV34" i="70"/>
  <c r="FW34" i="70"/>
  <c r="FX34" i="70"/>
  <c r="FY34" i="70"/>
  <c r="FZ34" i="70"/>
  <c r="GA34" i="70"/>
  <c r="GB34" i="70"/>
  <c r="GC34" i="70"/>
  <c r="U35" i="70"/>
  <c r="V35" i="70"/>
  <c r="X35" i="70"/>
  <c r="Y35" i="70"/>
  <c r="Z35" i="70"/>
  <c r="AA35" i="70"/>
  <c r="AI35" i="70"/>
  <c r="AJ35" i="70"/>
  <c r="AK35" i="70"/>
  <c r="AL35" i="70"/>
  <c r="AM35" i="70"/>
  <c r="AN35" i="70"/>
  <c r="AO35" i="70"/>
  <c r="AP35" i="70"/>
  <c r="AQ35" i="70"/>
  <c r="AR35" i="70"/>
  <c r="AS35" i="70"/>
  <c r="AT35" i="70"/>
  <c r="AU35" i="70"/>
  <c r="AV35" i="70"/>
  <c r="AW35" i="70"/>
  <c r="AX35" i="70"/>
  <c r="AY35" i="70"/>
  <c r="AZ35" i="70"/>
  <c r="BA35" i="70"/>
  <c r="BB35" i="70"/>
  <c r="BC35" i="70"/>
  <c r="BD35" i="70"/>
  <c r="BE35" i="70"/>
  <c r="BF35" i="70"/>
  <c r="BG35" i="70"/>
  <c r="BH35" i="70"/>
  <c r="BI35" i="70"/>
  <c r="BJ35" i="70"/>
  <c r="BK35" i="70"/>
  <c r="BL35" i="70"/>
  <c r="BM35" i="70"/>
  <c r="BN35" i="70"/>
  <c r="BO35" i="70"/>
  <c r="BP35" i="70"/>
  <c r="BQ35" i="70"/>
  <c r="BR35" i="70"/>
  <c r="BS35" i="70"/>
  <c r="BT35" i="70"/>
  <c r="BU35" i="70"/>
  <c r="BV35" i="70"/>
  <c r="BW35" i="70"/>
  <c r="BX35" i="70"/>
  <c r="BY35" i="70"/>
  <c r="BZ35" i="70"/>
  <c r="CA35" i="70"/>
  <c r="CB35" i="70"/>
  <c r="CC35" i="70"/>
  <c r="CD35" i="70"/>
  <c r="CE35" i="70"/>
  <c r="CF35" i="70"/>
  <c r="CG35" i="70"/>
  <c r="CH35" i="70"/>
  <c r="CI35" i="70"/>
  <c r="CJ35" i="70"/>
  <c r="CK35" i="70"/>
  <c r="CL35" i="70"/>
  <c r="CM35" i="70"/>
  <c r="CN35" i="70"/>
  <c r="CO35" i="70"/>
  <c r="CP35" i="70"/>
  <c r="CQ35" i="70"/>
  <c r="CR35" i="70"/>
  <c r="CS35" i="70"/>
  <c r="CT35" i="70"/>
  <c r="CU35" i="70"/>
  <c r="CV35" i="70"/>
  <c r="CW35" i="70"/>
  <c r="CX35" i="70"/>
  <c r="CY35" i="70"/>
  <c r="CZ35" i="70"/>
  <c r="DA35" i="70"/>
  <c r="DB35" i="70"/>
  <c r="DC35" i="70"/>
  <c r="DD35" i="70"/>
  <c r="DE35" i="70"/>
  <c r="DF35" i="70"/>
  <c r="DG35" i="70"/>
  <c r="DH35" i="70"/>
  <c r="DI35" i="70"/>
  <c r="DJ35" i="70"/>
  <c r="DK35" i="70"/>
  <c r="DL35" i="70"/>
  <c r="DM35" i="70"/>
  <c r="DN35" i="70"/>
  <c r="DO35" i="70"/>
  <c r="DP35" i="70"/>
  <c r="DQ35" i="70"/>
  <c r="DR35" i="70"/>
  <c r="DS35" i="70"/>
  <c r="DT35" i="70"/>
  <c r="DU35" i="70"/>
  <c r="DV35" i="70"/>
  <c r="DW35" i="70"/>
  <c r="DX35" i="70"/>
  <c r="DY35" i="70"/>
  <c r="DZ35" i="70"/>
  <c r="EA35" i="70"/>
  <c r="EB35" i="70"/>
  <c r="EC35" i="70"/>
  <c r="ED35" i="70"/>
  <c r="EE35" i="70"/>
  <c r="EF35" i="70"/>
  <c r="EG35" i="70"/>
  <c r="EH35" i="70"/>
  <c r="EI35" i="70"/>
  <c r="EJ35" i="70"/>
  <c r="EK35" i="70"/>
  <c r="EL35" i="70"/>
  <c r="EM35" i="70"/>
  <c r="EN35" i="70"/>
  <c r="EO35" i="70"/>
  <c r="EP35" i="70"/>
  <c r="EQ35" i="70"/>
  <c r="ER35" i="70"/>
  <c r="ES35" i="70"/>
  <c r="ET35" i="70"/>
  <c r="EU35" i="70"/>
  <c r="EV35" i="70"/>
  <c r="EW35" i="70"/>
  <c r="EX35" i="70"/>
  <c r="EY35" i="70"/>
  <c r="EZ35" i="70"/>
  <c r="FA35" i="70"/>
  <c r="FB35" i="70"/>
  <c r="FC35" i="70"/>
  <c r="FD35" i="70"/>
  <c r="FE35" i="70"/>
  <c r="FF35" i="70"/>
  <c r="FG35" i="70"/>
  <c r="FH35" i="70"/>
  <c r="FI35" i="70"/>
  <c r="FJ35" i="70"/>
  <c r="FK35" i="70"/>
  <c r="FL35" i="70"/>
  <c r="FM35" i="70"/>
  <c r="FN35" i="70"/>
  <c r="FO35" i="70"/>
  <c r="FP35" i="70"/>
  <c r="FQ35" i="70"/>
  <c r="FR35" i="70"/>
  <c r="FS35" i="70"/>
  <c r="FT35" i="70"/>
  <c r="FU35" i="70"/>
  <c r="FV35" i="70"/>
  <c r="FW35" i="70"/>
  <c r="FX35" i="70"/>
  <c r="FY35" i="70"/>
  <c r="FZ35" i="70"/>
  <c r="GA35" i="70"/>
  <c r="GB35" i="70"/>
  <c r="GC35" i="70"/>
  <c r="U36" i="70"/>
  <c r="V36" i="70"/>
  <c r="X36" i="70"/>
  <c r="Y36" i="70"/>
  <c r="Z36" i="70"/>
  <c r="AA36" i="70"/>
  <c r="AI36" i="70"/>
  <c r="AJ36" i="70"/>
  <c r="AK36" i="70"/>
  <c r="AL36" i="70"/>
  <c r="AM36" i="70"/>
  <c r="AN36" i="70"/>
  <c r="AO36" i="70"/>
  <c r="AP36" i="70"/>
  <c r="AQ36" i="70"/>
  <c r="AR36" i="70"/>
  <c r="AS36" i="70"/>
  <c r="AT36" i="70"/>
  <c r="AU36" i="70"/>
  <c r="AV36" i="70"/>
  <c r="AW36" i="70"/>
  <c r="AX36" i="70"/>
  <c r="AY36" i="70"/>
  <c r="AZ36" i="70"/>
  <c r="BA36" i="70"/>
  <c r="BB36" i="70"/>
  <c r="BC36" i="70"/>
  <c r="BD36" i="70"/>
  <c r="BE36" i="70"/>
  <c r="BF36" i="70"/>
  <c r="BG36" i="70"/>
  <c r="BH36" i="70"/>
  <c r="BI36" i="70"/>
  <c r="BJ36" i="70"/>
  <c r="BK36" i="70"/>
  <c r="BL36" i="70"/>
  <c r="BM36" i="70"/>
  <c r="BN36" i="70"/>
  <c r="BO36" i="70"/>
  <c r="BP36" i="70"/>
  <c r="BQ36" i="70"/>
  <c r="BR36" i="70"/>
  <c r="BS36" i="70"/>
  <c r="BT36" i="70"/>
  <c r="BU36" i="70"/>
  <c r="BV36" i="70"/>
  <c r="BW36" i="70"/>
  <c r="BX36" i="70"/>
  <c r="BY36" i="70"/>
  <c r="BZ36" i="70"/>
  <c r="CA36" i="70"/>
  <c r="CB36" i="70"/>
  <c r="CC36" i="70"/>
  <c r="CD36" i="70"/>
  <c r="CE36" i="70"/>
  <c r="CF36" i="70"/>
  <c r="CG36" i="70"/>
  <c r="CH36" i="70"/>
  <c r="CI36" i="70"/>
  <c r="CJ36" i="70"/>
  <c r="CK36" i="70"/>
  <c r="CL36" i="70"/>
  <c r="CM36" i="70"/>
  <c r="CN36" i="70"/>
  <c r="CO36" i="70"/>
  <c r="CP36" i="70"/>
  <c r="CQ36" i="70"/>
  <c r="CR36" i="70"/>
  <c r="CS36" i="70"/>
  <c r="CT36" i="70"/>
  <c r="CU36" i="70"/>
  <c r="CV36" i="70"/>
  <c r="CW36" i="70"/>
  <c r="CX36" i="70"/>
  <c r="CY36" i="70"/>
  <c r="CZ36" i="70"/>
  <c r="DA36" i="70"/>
  <c r="DB36" i="70"/>
  <c r="DC36" i="70"/>
  <c r="DD36" i="70"/>
  <c r="DE36" i="70"/>
  <c r="DF36" i="70"/>
  <c r="DG36" i="70"/>
  <c r="DH36" i="70"/>
  <c r="DI36" i="70"/>
  <c r="DJ36" i="70"/>
  <c r="DK36" i="70"/>
  <c r="DL36" i="70"/>
  <c r="DM36" i="70"/>
  <c r="DN36" i="70"/>
  <c r="DO36" i="70"/>
  <c r="DP36" i="70"/>
  <c r="DQ36" i="70"/>
  <c r="DR36" i="70"/>
  <c r="DS36" i="70"/>
  <c r="DT36" i="70"/>
  <c r="DU36" i="70"/>
  <c r="DV36" i="70"/>
  <c r="DW36" i="70"/>
  <c r="DX36" i="70"/>
  <c r="DY36" i="70"/>
  <c r="DZ36" i="70"/>
  <c r="EA36" i="70"/>
  <c r="EB36" i="70"/>
  <c r="EC36" i="70"/>
  <c r="ED36" i="70"/>
  <c r="EE36" i="70"/>
  <c r="EF36" i="70"/>
  <c r="EG36" i="70"/>
  <c r="EH36" i="70"/>
  <c r="EI36" i="70"/>
  <c r="EJ36" i="70"/>
  <c r="EK36" i="70"/>
  <c r="EL36" i="70"/>
  <c r="EM36" i="70"/>
  <c r="EN36" i="70"/>
  <c r="EO36" i="70"/>
  <c r="EP36" i="70"/>
  <c r="EQ36" i="70"/>
  <c r="ER36" i="70"/>
  <c r="ES36" i="70"/>
  <c r="ET36" i="70"/>
  <c r="EU36" i="70"/>
  <c r="EV36" i="70"/>
  <c r="EW36" i="70"/>
  <c r="EX36" i="70"/>
  <c r="EY36" i="70"/>
  <c r="EZ36" i="70"/>
  <c r="FA36" i="70"/>
  <c r="FB36" i="70"/>
  <c r="FC36" i="70"/>
  <c r="FD36" i="70"/>
  <c r="FE36" i="70"/>
  <c r="FF36" i="70"/>
  <c r="FG36" i="70"/>
  <c r="FH36" i="70"/>
  <c r="FI36" i="70"/>
  <c r="FJ36" i="70"/>
  <c r="FK36" i="70"/>
  <c r="FL36" i="70"/>
  <c r="FM36" i="70"/>
  <c r="FN36" i="70"/>
  <c r="FO36" i="70"/>
  <c r="FP36" i="70"/>
  <c r="FQ36" i="70"/>
  <c r="FR36" i="70"/>
  <c r="FS36" i="70"/>
  <c r="FT36" i="70"/>
  <c r="FU36" i="70"/>
  <c r="FV36" i="70"/>
  <c r="FW36" i="70"/>
  <c r="FX36" i="70"/>
  <c r="FY36" i="70"/>
  <c r="FZ36" i="70"/>
  <c r="GA36" i="70"/>
  <c r="GB36" i="70"/>
  <c r="GC36" i="70"/>
  <c r="U37" i="70"/>
  <c r="V37" i="70"/>
  <c r="X37" i="70"/>
  <c r="Y37" i="70"/>
  <c r="Z37" i="70"/>
  <c r="AA37" i="70"/>
  <c r="AI37" i="70"/>
  <c r="AJ37" i="70"/>
  <c r="AK37" i="70"/>
  <c r="AL37" i="70"/>
  <c r="AM37" i="70"/>
  <c r="AN37" i="70"/>
  <c r="AO37" i="70"/>
  <c r="AP37" i="70"/>
  <c r="AQ37" i="70"/>
  <c r="AR37" i="70"/>
  <c r="AS37" i="70"/>
  <c r="AT37" i="70"/>
  <c r="AU37" i="70"/>
  <c r="AV37" i="70"/>
  <c r="AW37" i="70"/>
  <c r="AX37" i="70"/>
  <c r="AY37" i="70"/>
  <c r="AZ37" i="70"/>
  <c r="BA37" i="70"/>
  <c r="BB37" i="70"/>
  <c r="BC37" i="70"/>
  <c r="BD37" i="70"/>
  <c r="BE37" i="70"/>
  <c r="BF37" i="70"/>
  <c r="BG37" i="70"/>
  <c r="BH37" i="70"/>
  <c r="BI37" i="70"/>
  <c r="BJ37" i="70"/>
  <c r="BK37" i="70"/>
  <c r="BL37" i="70"/>
  <c r="BM37" i="70"/>
  <c r="BN37" i="70"/>
  <c r="BO37" i="70"/>
  <c r="BP37" i="70"/>
  <c r="BQ37" i="70"/>
  <c r="BR37" i="70"/>
  <c r="BS37" i="70"/>
  <c r="BT37" i="70"/>
  <c r="BU37" i="70"/>
  <c r="BV37" i="70"/>
  <c r="BW37" i="70"/>
  <c r="BX37" i="70"/>
  <c r="BY37" i="70"/>
  <c r="BZ37" i="70"/>
  <c r="CA37" i="70"/>
  <c r="CB37" i="70"/>
  <c r="CC37" i="70"/>
  <c r="CD37" i="70"/>
  <c r="CE37" i="70"/>
  <c r="CF37" i="70"/>
  <c r="CG37" i="70"/>
  <c r="CH37" i="70"/>
  <c r="CI37" i="70"/>
  <c r="CJ37" i="70"/>
  <c r="CK37" i="70"/>
  <c r="CL37" i="70"/>
  <c r="CM37" i="70"/>
  <c r="CN37" i="70"/>
  <c r="CO37" i="70"/>
  <c r="CP37" i="70"/>
  <c r="CQ37" i="70"/>
  <c r="CR37" i="70"/>
  <c r="CS37" i="70"/>
  <c r="CT37" i="70"/>
  <c r="CU37" i="70"/>
  <c r="CV37" i="70"/>
  <c r="CW37" i="70"/>
  <c r="CX37" i="70"/>
  <c r="CY37" i="70"/>
  <c r="CZ37" i="70"/>
  <c r="DA37" i="70"/>
  <c r="DB37" i="70"/>
  <c r="DC37" i="70"/>
  <c r="DD37" i="70"/>
  <c r="DE37" i="70"/>
  <c r="DF37" i="70"/>
  <c r="DG37" i="70"/>
  <c r="DH37" i="70"/>
  <c r="DI37" i="70"/>
  <c r="DJ37" i="70"/>
  <c r="DK37" i="70"/>
  <c r="DL37" i="70"/>
  <c r="DM37" i="70"/>
  <c r="DN37" i="70"/>
  <c r="DO37" i="70"/>
  <c r="DP37" i="70"/>
  <c r="DQ37" i="70"/>
  <c r="DR37" i="70"/>
  <c r="DS37" i="70"/>
  <c r="DT37" i="70"/>
  <c r="DU37" i="70"/>
  <c r="DV37" i="70"/>
  <c r="DW37" i="70"/>
  <c r="DX37" i="70"/>
  <c r="DY37" i="70"/>
  <c r="DZ37" i="70"/>
  <c r="EA37" i="70"/>
  <c r="EB37" i="70"/>
  <c r="EC37" i="70"/>
  <c r="ED37" i="70"/>
  <c r="EE37" i="70"/>
  <c r="EF37" i="70"/>
  <c r="EG37" i="70"/>
  <c r="EH37" i="70"/>
  <c r="EI37" i="70"/>
  <c r="EJ37" i="70"/>
  <c r="EK37" i="70"/>
  <c r="EL37" i="70"/>
  <c r="EM37" i="70"/>
  <c r="EN37" i="70"/>
  <c r="EO37" i="70"/>
  <c r="EP37" i="70"/>
  <c r="EQ37" i="70"/>
  <c r="ER37" i="70"/>
  <c r="ES37" i="70"/>
  <c r="ET37" i="70"/>
  <c r="EU37" i="70"/>
  <c r="EV37" i="70"/>
  <c r="EW37" i="70"/>
  <c r="EX37" i="70"/>
  <c r="EY37" i="70"/>
  <c r="EZ37" i="70"/>
  <c r="FA37" i="70"/>
  <c r="FB37" i="70"/>
  <c r="FC37" i="70"/>
  <c r="FD37" i="70"/>
  <c r="FE37" i="70"/>
  <c r="FF37" i="70"/>
  <c r="FG37" i="70"/>
  <c r="FH37" i="70"/>
  <c r="FI37" i="70"/>
  <c r="FJ37" i="70"/>
  <c r="FK37" i="70"/>
  <c r="FL37" i="70"/>
  <c r="FM37" i="70"/>
  <c r="FN37" i="70"/>
  <c r="FO37" i="70"/>
  <c r="FP37" i="70"/>
  <c r="FQ37" i="70"/>
  <c r="FR37" i="70"/>
  <c r="FS37" i="70"/>
  <c r="FT37" i="70"/>
  <c r="FU37" i="70"/>
  <c r="FV37" i="70"/>
  <c r="FW37" i="70"/>
  <c r="FX37" i="70"/>
  <c r="FY37" i="70"/>
  <c r="FZ37" i="70"/>
  <c r="GA37" i="70"/>
  <c r="GB37" i="70"/>
  <c r="GC37" i="70"/>
  <c r="U38" i="70"/>
  <c r="V38" i="70"/>
  <c r="X38" i="70"/>
  <c r="Y38" i="70"/>
  <c r="Z38" i="70"/>
  <c r="AA38" i="70"/>
  <c r="AI38" i="70"/>
  <c r="AJ38" i="70"/>
  <c r="AK38" i="70"/>
  <c r="AL38" i="70"/>
  <c r="AM38" i="70"/>
  <c r="AN38" i="70"/>
  <c r="AO38" i="70"/>
  <c r="AP38" i="70"/>
  <c r="AQ38" i="70"/>
  <c r="AR38" i="70"/>
  <c r="AS38" i="70"/>
  <c r="AT38" i="70"/>
  <c r="AU38" i="70"/>
  <c r="AV38" i="70"/>
  <c r="AW38" i="70"/>
  <c r="AX38" i="70"/>
  <c r="AY38" i="70"/>
  <c r="AZ38" i="70"/>
  <c r="BA38" i="70"/>
  <c r="BB38" i="70"/>
  <c r="BC38" i="70"/>
  <c r="BD38" i="70"/>
  <c r="BE38" i="70"/>
  <c r="BF38" i="70"/>
  <c r="BG38" i="70"/>
  <c r="BH38" i="70"/>
  <c r="BI38" i="70"/>
  <c r="BJ38" i="70"/>
  <c r="BK38" i="70"/>
  <c r="BL38" i="70"/>
  <c r="BM38" i="70"/>
  <c r="BN38" i="70"/>
  <c r="BO38" i="70"/>
  <c r="BP38" i="70"/>
  <c r="BQ38" i="70"/>
  <c r="BR38" i="70"/>
  <c r="BS38" i="70"/>
  <c r="BT38" i="70"/>
  <c r="BU38" i="70"/>
  <c r="BV38" i="70"/>
  <c r="BW38" i="70"/>
  <c r="BX38" i="70"/>
  <c r="BY38" i="70"/>
  <c r="BZ38" i="70"/>
  <c r="CA38" i="70"/>
  <c r="CB38" i="70"/>
  <c r="CC38" i="70"/>
  <c r="CD38" i="70"/>
  <c r="CE38" i="70"/>
  <c r="CF38" i="70"/>
  <c r="CG38" i="70"/>
  <c r="CH38" i="70"/>
  <c r="CI38" i="70"/>
  <c r="CJ38" i="70"/>
  <c r="CK38" i="70"/>
  <c r="CL38" i="70"/>
  <c r="CM38" i="70"/>
  <c r="CN38" i="70"/>
  <c r="CO38" i="70"/>
  <c r="CP38" i="70"/>
  <c r="CQ38" i="70"/>
  <c r="CR38" i="70"/>
  <c r="CS38" i="70"/>
  <c r="CT38" i="70"/>
  <c r="CU38" i="70"/>
  <c r="CV38" i="70"/>
  <c r="CW38" i="70"/>
  <c r="CX38" i="70"/>
  <c r="CY38" i="70"/>
  <c r="CZ38" i="70"/>
  <c r="DA38" i="70"/>
  <c r="DB38" i="70"/>
  <c r="DC38" i="70"/>
  <c r="DD38" i="70"/>
  <c r="DE38" i="70"/>
  <c r="DF38" i="70"/>
  <c r="DG38" i="70"/>
  <c r="DH38" i="70"/>
  <c r="DI38" i="70"/>
  <c r="DJ38" i="70"/>
  <c r="DK38" i="70"/>
  <c r="DL38" i="70"/>
  <c r="DM38" i="70"/>
  <c r="DN38" i="70"/>
  <c r="DO38" i="70"/>
  <c r="DP38" i="70"/>
  <c r="DQ38" i="70"/>
  <c r="DR38" i="70"/>
  <c r="DS38" i="70"/>
  <c r="DT38" i="70"/>
  <c r="DU38" i="70"/>
  <c r="DV38" i="70"/>
  <c r="DW38" i="70"/>
  <c r="DX38" i="70"/>
  <c r="DY38" i="70"/>
  <c r="DZ38" i="70"/>
  <c r="EA38" i="70"/>
  <c r="EB38" i="70"/>
  <c r="EC38" i="70"/>
  <c r="ED38" i="70"/>
  <c r="EE38" i="70"/>
  <c r="EF38" i="70"/>
  <c r="EG38" i="70"/>
  <c r="EH38" i="70"/>
  <c r="EI38" i="70"/>
  <c r="EJ38" i="70"/>
  <c r="EK38" i="70"/>
  <c r="EL38" i="70"/>
  <c r="EM38" i="70"/>
  <c r="EN38" i="70"/>
  <c r="EO38" i="70"/>
  <c r="EP38" i="70"/>
  <c r="EQ38" i="70"/>
  <c r="ER38" i="70"/>
  <c r="ES38" i="70"/>
  <c r="ET38" i="70"/>
  <c r="EU38" i="70"/>
  <c r="EV38" i="70"/>
  <c r="EW38" i="70"/>
  <c r="EX38" i="70"/>
  <c r="EY38" i="70"/>
  <c r="EZ38" i="70"/>
  <c r="FA38" i="70"/>
  <c r="FB38" i="70"/>
  <c r="FC38" i="70"/>
  <c r="FD38" i="70"/>
  <c r="FE38" i="70"/>
  <c r="FF38" i="70"/>
  <c r="FG38" i="70"/>
  <c r="FH38" i="70"/>
  <c r="FI38" i="70"/>
  <c r="FJ38" i="70"/>
  <c r="FK38" i="70"/>
  <c r="FL38" i="70"/>
  <c r="FM38" i="70"/>
  <c r="FN38" i="70"/>
  <c r="FO38" i="70"/>
  <c r="FP38" i="70"/>
  <c r="FQ38" i="70"/>
  <c r="FR38" i="70"/>
  <c r="FS38" i="70"/>
  <c r="FT38" i="70"/>
  <c r="FU38" i="70"/>
  <c r="FV38" i="70"/>
  <c r="FW38" i="70"/>
  <c r="FX38" i="70"/>
  <c r="FY38" i="70"/>
  <c r="FZ38" i="70"/>
  <c r="GA38" i="70"/>
  <c r="GB38" i="70"/>
  <c r="GC38" i="70"/>
  <c r="U39" i="70"/>
  <c r="V39" i="70"/>
  <c r="X39" i="70"/>
  <c r="Y39" i="70"/>
  <c r="Z39" i="70"/>
  <c r="AA39" i="70"/>
  <c r="AI39" i="70"/>
  <c r="AJ39" i="70"/>
  <c r="AK39" i="70"/>
  <c r="AL39" i="70"/>
  <c r="AM39" i="70"/>
  <c r="AN39" i="70"/>
  <c r="AO39" i="70"/>
  <c r="AP39" i="70"/>
  <c r="AQ39" i="70"/>
  <c r="AR39" i="70"/>
  <c r="AS39" i="70"/>
  <c r="AT39" i="70"/>
  <c r="AU39" i="70"/>
  <c r="AV39" i="70"/>
  <c r="AW39" i="70"/>
  <c r="AX39" i="70"/>
  <c r="AY39" i="70"/>
  <c r="AZ39" i="70"/>
  <c r="BA39" i="70"/>
  <c r="BB39" i="70"/>
  <c r="BC39" i="70"/>
  <c r="BD39" i="70"/>
  <c r="BE39" i="70"/>
  <c r="BF39" i="70"/>
  <c r="BG39" i="70"/>
  <c r="BH39" i="70"/>
  <c r="BI39" i="70"/>
  <c r="BJ39" i="70"/>
  <c r="BK39" i="70"/>
  <c r="BL39" i="70"/>
  <c r="BM39" i="70"/>
  <c r="BN39" i="70"/>
  <c r="BO39" i="70"/>
  <c r="BP39" i="70"/>
  <c r="BQ39" i="70"/>
  <c r="BR39" i="70"/>
  <c r="BS39" i="70"/>
  <c r="BT39" i="70"/>
  <c r="BU39" i="70"/>
  <c r="BV39" i="70"/>
  <c r="BW39" i="70"/>
  <c r="BX39" i="70"/>
  <c r="BY39" i="70"/>
  <c r="BZ39" i="70"/>
  <c r="CA39" i="70"/>
  <c r="CB39" i="70"/>
  <c r="CC39" i="70"/>
  <c r="CD39" i="70"/>
  <c r="CE39" i="70"/>
  <c r="CF39" i="70"/>
  <c r="CG39" i="70"/>
  <c r="CH39" i="70"/>
  <c r="CI39" i="70"/>
  <c r="CJ39" i="70"/>
  <c r="CK39" i="70"/>
  <c r="CL39" i="70"/>
  <c r="CM39" i="70"/>
  <c r="CN39" i="70"/>
  <c r="CO39" i="70"/>
  <c r="CP39" i="70"/>
  <c r="CQ39" i="70"/>
  <c r="CR39" i="70"/>
  <c r="CS39" i="70"/>
  <c r="CT39" i="70"/>
  <c r="CU39" i="70"/>
  <c r="CV39" i="70"/>
  <c r="CW39" i="70"/>
  <c r="CX39" i="70"/>
  <c r="CY39" i="70"/>
  <c r="CZ39" i="70"/>
  <c r="DA39" i="70"/>
  <c r="DB39" i="70"/>
  <c r="DC39" i="70"/>
  <c r="DD39" i="70"/>
  <c r="DE39" i="70"/>
  <c r="DF39" i="70"/>
  <c r="DG39" i="70"/>
  <c r="DH39" i="70"/>
  <c r="DI39" i="70"/>
  <c r="DJ39" i="70"/>
  <c r="DK39" i="70"/>
  <c r="DL39" i="70"/>
  <c r="DM39" i="70"/>
  <c r="DN39" i="70"/>
  <c r="DO39" i="70"/>
  <c r="DP39" i="70"/>
  <c r="DQ39" i="70"/>
  <c r="DR39" i="70"/>
  <c r="DS39" i="70"/>
  <c r="DT39" i="70"/>
  <c r="DU39" i="70"/>
  <c r="DV39" i="70"/>
  <c r="DW39" i="70"/>
  <c r="DX39" i="70"/>
  <c r="DY39" i="70"/>
  <c r="DZ39" i="70"/>
  <c r="EA39" i="70"/>
  <c r="EB39" i="70"/>
  <c r="EC39" i="70"/>
  <c r="ED39" i="70"/>
  <c r="EE39" i="70"/>
  <c r="EF39" i="70"/>
  <c r="EG39" i="70"/>
  <c r="EH39" i="70"/>
  <c r="EI39" i="70"/>
  <c r="EJ39" i="70"/>
  <c r="EK39" i="70"/>
  <c r="EL39" i="70"/>
  <c r="EM39" i="70"/>
  <c r="EN39" i="70"/>
  <c r="EO39" i="70"/>
  <c r="EP39" i="70"/>
  <c r="EQ39" i="70"/>
  <c r="ER39" i="70"/>
  <c r="ES39" i="70"/>
  <c r="ET39" i="70"/>
  <c r="EU39" i="70"/>
  <c r="EV39" i="70"/>
  <c r="EW39" i="70"/>
  <c r="EX39" i="70"/>
  <c r="EY39" i="70"/>
  <c r="EZ39" i="70"/>
  <c r="FA39" i="70"/>
  <c r="FB39" i="70"/>
  <c r="FC39" i="70"/>
  <c r="FD39" i="70"/>
  <c r="FE39" i="70"/>
  <c r="FF39" i="70"/>
  <c r="FG39" i="70"/>
  <c r="FH39" i="70"/>
  <c r="FI39" i="70"/>
  <c r="FJ39" i="70"/>
  <c r="FK39" i="70"/>
  <c r="FL39" i="70"/>
  <c r="FM39" i="70"/>
  <c r="FN39" i="70"/>
  <c r="FO39" i="70"/>
  <c r="FP39" i="70"/>
  <c r="FQ39" i="70"/>
  <c r="FR39" i="70"/>
  <c r="FS39" i="70"/>
  <c r="FT39" i="70"/>
  <c r="FU39" i="70"/>
  <c r="FV39" i="70"/>
  <c r="FW39" i="70"/>
  <c r="FX39" i="70"/>
  <c r="FY39" i="70"/>
  <c r="FZ39" i="70"/>
  <c r="GA39" i="70"/>
  <c r="GB39" i="70"/>
  <c r="GC39" i="70"/>
  <c r="U40" i="70"/>
  <c r="V40" i="70"/>
  <c r="X40" i="70"/>
  <c r="Y40" i="70"/>
  <c r="Z40" i="70"/>
  <c r="AA40" i="70"/>
  <c r="AI40" i="70"/>
  <c r="AJ40" i="70"/>
  <c r="AK40" i="70"/>
  <c r="AL40" i="70"/>
  <c r="AM40" i="70"/>
  <c r="AN40" i="70"/>
  <c r="AO40" i="70"/>
  <c r="AP40" i="70"/>
  <c r="AQ40" i="70"/>
  <c r="AR40" i="70"/>
  <c r="AS40" i="70"/>
  <c r="AT40" i="70"/>
  <c r="AU40" i="70"/>
  <c r="AV40" i="70"/>
  <c r="AW40" i="70"/>
  <c r="AX40" i="70"/>
  <c r="AY40" i="70"/>
  <c r="AZ40" i="70"/>
  <c r="BA40" i="70"/>
  <c r="BB40" i="70"/>
  <c r="BC40" i="70"/>
  <c r="BD40" i="70"/>
  <c r="BE40" i="70"/>
  <c r="BF40" i="70"/>
  <c r="BG40" i="70"/>
  <c r="BH40" i="70"/>
  <c r="BI40" i="70"/>
  <c r="BJ40" i="70"/>
  <c r="BK40" i="70"/>
  <c r="BL40" i="70"/>
  <c r="BM40" i="70"/>
  <c r="BN40" i="70"/>
  <c r="BO40" i="70"/>
  <c r="BP40" i="70"/>
  <c r="BQ40" i="70"/>
  <c r="BR40" i="70"/>
  <c r="BS40" i="70"/>
  <c r="BT40" i="70"/>
  <c r="BU40" i="70"/>
  <c r="BV40" i="70"/>
  <c r="BW40" i="70"/>
  <c r="BX40" i="70"/>
  <c r="BY40" i="70"/>
  <c r="BZ40" i="70"/>
  <c r="CA40" i="70"/>
  <c r="CB40" i="70"/>
  <c r="CC40" i="70"/>
  <c r="CD40" i="70"/>
  <c r="CE40" i="70"/>
  <c r="CF40" i="70"/>
  <c r="CG40" i="70"/>
  <c r="CH40" i="70"/>
  <c r="CI40" i="70"/>
  <c r="CJ40" i="70"/>
  <c r="CK40" i="70"/>
  <c r="CL40" i="70"/>
  <c r="CM40" i="70"/>
  <c r="CN40" i="70"/>
  <c r="CO40" i="70"/>
  <c r="CP40" i="70"/>
  <c r="CQ40" i="70"/>
  <c r="CR40" i="70"/>
  <c r="CS40" i="70"/>
  <c r="CT40" i="70"/>
  <c r="CU40" i="70"/>
  <c r="CV40" i="70"/>
  <c r="CW40" i="70"/>
  <c r="CX40" i="70"/>
  <c r="CY40" i="70"/>
  <c r="CZ40" i="70"/>
  <c r="DA40" i="70"/>
  <c r="DB40" i="70"/>
  <c r="DC40" i="70"/>
  <c r="DD40" i="70"/>
  <c r="DE40" i="70"/>
  <c r="DF40" i="70"/>
  <c r="DG40" i="70"/>
  <c r="DH40" i="70"/>
  <c r="DI40" i="70"/>
  <c r="DJ40" i="70"/>
  <c r="DK40" i="70"/>
  <c r="DL40" i="70"/>
  <c r="DM40" i="70"/>
  <c r="DN40" i="70"/>
  <c r="DO40" i="70"/>
  <c r="DP40" i="70"/>
  <c r="DQ40" i="70"/>
  <c r="DR40" i="70"/>
  <c r="DS40" i="70"/>
  <c r="DT40" i="70"/>
  <c r="DU40" i="70"/>
  <c r="DV40" i="70"/>
  <c r="DW40" i="70"/>
  <c r="DX40" i="70"/>
  <c r="DY40" i="70"/>
  <c r="DZ40" i="70"/>
  <c r="EA40" i="70"/>
  <c r="EB40" i="70"/>
  <c r="EC40" i="70"/>
  <c r="ED40" i="70"/>
  <c r="EE40" i="70"/>
  <c r="EF40" i="70"/>
  <c r="EG40" i="70"/>
  <c r="EH40" i="70"/>
  <c r="EI40" i="70"/>
  <c r="EJ40" i="70"/>
  <c r="EK40" i="70"/>
  <c r="EL40" i="70"/>
  <c r="EM40" i="70"/>
  <c r="EN40" i="70"/>
  <c r="EO40" i="70"/>
  <c r="EP40" i="70"/>
  <c r="EQ40" i="70"/>
  <c r="ER40" i="70"/>
  <c r="ES40" i="70"/>
  <c r="ET40" i="70"/>
  <c r="EU40" i="70"/>
  <c r="EV40" i="70"/>
  <c r="EW40" i="70"/>
  <c r="EX40" i="70"/>
  <c r="EY40" i="70"/>
  <c r="EZ40" i="70"/>
  <c r="FA40" i="70"/>
  <c r="FB40" i="70"/>
  <c r="FC40" i="70"/>
  <c r="FD40" i="70"/>
  <c r="FE40" i="70"/>
  <c r="FF40" i="70"/>
  <c r="FG40" i="70"/>
  <c r="FH40" i="70"/>
  <c r="FI40" i="70"/>
  <c r="FJ40" i="70"/>
  <c r="FK40" i="70"/>
  <c r="FL40" i="70"/>
  <c r="FM40" i="70"/>
  <c r="FN40" i="70"/>
  <c r="FO40" i="70"/>
  <c r="FP40" i="70"/>
  <c r="FQ40" i="70"/>
  <c r="FR40" i="70"/>
  <c r="FS40" i="70"/>
  <c r="FT40" i="70"/>
  <c r="FU40" i="70"/>
  <c r="FV40" i="70"/>
  <c r="FW40" i="70"/>
  <c r="FX40" i="70"/>
  <c r="FY40" i="70"/>
  <c r="FZ40" i="70"/>
  <c r="GA40" i="70"/>
  <c r="GB40" i="70"/>
  <c r="GC40" i="70"/>
  <c r="U41" i="70"/>
  <c r="V41" i="70"/>
  <c r="X41" i="70"/>
  <c r="Y41" i="70"/>
  <c r="Z41" i="70"/>
  <c r="AA41" i="70"/>
  <c r="AI41" i="70"/>
  <c r="AJ41" i="70"/>
  <c r="AK41" i="70"/>
  <c r="AL41" i="70"/>
  <c r="AM41" i="70"/>
  <c r="AN41" i="70"/>
  <c r="AO41" i="70"/>
  <c r="AP41" i="70"/>
  <c r="AQ41" i="70"/>
  <c r="AR41" i="70"/>
  <c r="AS41" i="70"/>
  <c r="AT41" i="70"/>
  <c r="AU41" i="70"/>
  <c r="AV41" i="70"/>
  <c r="AW41" i="70"/>
  <c r="AX41" i="70"/>
  <c r="AY41" i="70"/>
  <c r="AZ41" i="70"/>
  <c r="BA41" i="70"/>
  <c r="BB41" i="70"/>
  <c r="BC41" i="70"/>
  <c r="BD41" i="70"/>
  <c r="BE41" i="70"/>
  <c r="BF41" i="70"/>
  <c r="BG41" i="70"/>
  <c r="BH41" i="70"/>
  <c r="BI41" i="70"/>
  <c r="BJ41" i="70"/>
  <c r="BK41" i="70"/>
  <c r="BL41" i="70"/>
  <c r="BM41" i="70"/>
  <c r="BN41" i="70"/>
  <c r="BO41" i="70"/>
  <c r="BP41" i="70"/>
  <c r="BQ41" i="70"/>
  <c r="BR41" i="70"/>
  <c r="BS41" i="70"/>
  <c r="BT41" i="70"/>
  <c r="BU41" i="70"/>
  <c r="BV41" i="70"/>
  <c r="BW41" i="70"/>
  <c r="BX41" i="70"/>
  <c r="BY41" i="70"/>
  <c r="BZ41" i="70"/>
  <c r="CA41" i="70"/>
  <c r="CB41" i="70"/>
  <c r="CC41" i="70"/>
  <c r="CD41" i="70"/>
  <c r="CE41" i="70"/>
  <c r="CF41" i="70"/>
  <c r="CG41" i="70"/>
  <c r="CH41" i="70"/>
  <c r="CI41" i="70"/>
  <c r="CJ41" i="70"/>
  <c r="CK41" i="70"/>
  <c r="CL41" i="70"/>
  <c r="CM41" i="70"/>
  <c r="CN41" i="70"/>
  <c r="CO41" i="70"/>
  <c r="CP41" i="70"/>
  <c r="CQ41" i="70"/>
  <c r="CR41" i="70"/>
  <c r="CS41" i="70"/>
  <c r="CT41" i="70"/>
  <c r="CU41" i="70"/>
  <c r="CV41" i="70"/>
  <c r="CW41" i="70"/>
  <c r="CX41" i="70"/>
  <c r="CY41" i="70"/>
  <c r="CZ41" i="70"/>
  <c r="DA41" i="70"/>
  <c r="DB41" i="70"/>
  <c r="DC41" i="70"/>
  <c r="DD41" i="70"/>
  <c r="DE41" i="70"/>
  <c r="DF41" i="70"/>
  <c r="DG41" i="70"/>
  <c r="DH41" i="70"/>
  <c r="DI41" i="70"/>
  <c r="DJ41" i="70"/>
  <c r="DK41" i="70"/>
  <c r="DL41" i="70"/>
  <c r="DM41" i="70"/>
  <c r="DN41" i="70"/>
  <c r="DO41" i="70"/>
  <c r="DP41" i="70"/>
  <c r="DQ41" i="70"/>
  <c r="DR41" i="70"/>
  <c r="DS41" i="70"/>
  <c r="DT41" i="70"/>
  <c r="DU41" i="70"/>
  <c r="DV41" i="70"/>
  <c r="DW41" i="70"/>
  <c r="DX41" i="70"/>
  <c r="DY41" i="70"/>
  <c r="DZ41" i="70"/>
  <c r="EA41" i="70"/>
  <c r="EB41" i="70"/>
  <c r="EC41" i="70"/>
  <c r="ED41" i="70"/>
  <c r="EE41" i="70"/>
  <c r="EF41" i="70"/>
  <c r="EG41" i="70"/>
  <c r="EH41" i="70"/>
  <c r="EI41" i="70"/>
  <c r="EJ41" i="70"/>
  <c r="EK41" i="70"/>
  <c r="EL41" i="70"/>
  <c r="EM41" i="70"/>
  <c r="EN41" i="70"/>
  <c r="EO41" i="70"/>
  <c r="EP41" i="70"/>
  <c r="EQ41" i="70"/>
  <c r="ER41" i="70"/>
  <c r="ES41" i="70"/>
  <c r="ET41" i="70"/>
  <c r="EU41" i="70"/>
  <c r="EV41" i="70"/>
  <c r="EW41" i="70"/>
  <c r="EX41" i="70"/>
  <c r="EY41" i="70"/>
  <c r="EZ41" i="70"/>
  <c r="FA41" i="70"/>
  <c r="FB41" i="70"/>
  <c r="FC41" i="70"/>
  <c r="FD41" i="70"/>
  <c r="FE41" i="70"/>
  <c r="FF41" i="70"/>
  <c r="FG41" i="70"/>
  <c r="FH41" i="70"/>
  <c r="FI41" i="70"/>
  <c r="FJ41" i="70"/>
  <c r="FK41" i="70"/>
  <c r="FL41" i="70"/>
  <c r="FM41" i="70"/>
  <c r="FN41" i="70"/>
  <c r="FO41" i="70"/>
  <c r="FP41" i="70"/>
  <c r="FQ41" i="70"/>
  <c r="FR41" i="70"/>
  <c r="FS41" i="70"/>
  <c r="FT41" i="70"/>
  <c r="FU41" i="70"/>
  <c r="FV41" i="70"/>
  <c r="FW41" i="70"/>
  <c r="FX41" i="70"/>
  <c r="FY41" i="70"/>
  <c r="FZ41" i="70"/>
  <c r="GA41" i="70"/>
  <c r="GB41" i="70"/>
  <c r="GC41" i="70"/>
  <c r="U42" i="70"/>
  <c r="V42" i="70"/>
  <c r="X42" i="70"/>
  <c r="Y42" i="70"/>
  <c r="Z42" i="70"/>
  <c r="AA42" i="70"/>
  <c r="AI42" i="70"/>
  <c r="AJ42" i="70"/>
  <c r="AK42" i="70"/>
  <c r="AL42" i="70"/>
  <c r="AM42" i="70"/>
  <c r="AN42" i="70"/>
  <c r="AO42" i="70"/>
  <c r="AP42" i="70"/>
  <c r="AQ42" i="70"/>
  <c r="AR42" i="70"/>
  <c r="AS42" i="70"/>
  <c r="AT42" i="70"/>
  <c r="AU42" i="70"/>
  <c r="AV42" i="70"/>
  <c r="AW42" i="70"/>
  <c r="AX42" i="70"/>
  <c r="AY42" i="70"/>
  <c r="AZ42" i="70"/>
  <c r="BA42" i="70"/>
  <c r="BB42" i="70"/>
  <c r="BC42" i="70"/>
  <c r="BD42" i="70"/>
  <c r="BE42" i="70"/>
  <c r="BF42" i="70"/>
  <c r="BG42" i="70"/>
  <c r="BH42" i="70"/>
  <c r="BI42" i="70"/>
  <c r="BJ42" i="70"/>
  <c r="BK42" i="70"/>
  <c r="BL42" i="70"/>
  <c r="BM42" i="70"/>
  <c r="BN42" i="70"/>
  <c r="BO42" i="70"/>
  <c r="BP42" i="70"/>
  <c r="BQ42" i="70"/>
  <c r="BR42" i="70"/>
  <c r="BS42" i="70"/>
  <c r="BT42" i="70"/>
  <c r="BU42" i="70"/>
  <c r="BV42" i="70"/>
  <c r="BW42" i="70"/>
  <c r="BX42" i="70"/>
  <c r="BY42" i="70"/>
  <c r="BZ42" i="70"/>
  <c r="CA42" i="70"/>
  <c r="CB42" i="70"/>
  <c r="CC42" i="70"/>
  <c r="CD42" i="70"/>
  <c r="CE42" i="70"/>
  <c r="CF42" i="70"/>
  <c r="CG42" i="70"/>
  <c r="CH42" i="70"/>
  <c r="CI42" i="70"/>
  <c r="CJ42" i="70"/>
  <c r="CK42" i="70"/>
  <c r="CL42" i="70"/>
  <c r="CM42" i="70"/>
  <c r="CN42" i="70"/>
  <c r="CO42" i="70"/>
  <c r="CP42" i="70"/>
  <c r="CQ42" i="70"/>
  <c r="CR42" i="70"/>
  <c r="CS42" i="70"/>
  <c r="CT42" i="70"/>
  <c r="CU42" i="70"/>
  <c r="CV42" i="70"/>
  <c r="CW42" i="70"/>
  <c r="CX42" i="70"/>
  <c r="CY42" i="70"/>
  <c r="CZ42" i="70"/>
  <c r="DA42" i="70"/>
  <c r="DB42" i="70"/>
  <c r="DC42" i="70"/>
  <c r="DD42" i="70"/>
  <c r="DE42" i="70"/>
  <c r="DF42" i="70"/>
  <c r="DG42" i="70"/>
  <c r="DH42" i="70"/>
  <c r="DI42" i="70"/>
  <c r="DJ42" i="70"/>
  <c r="DK42" i="70"/>
  <c r="DL42" i="70"/>
  <c r="DM42" i="70"/>
  <c r="DN42" i="70"/>
  <c r="DO42" i="70"/>
  <c r="DP42" i="70"/>
  <c r="DQ42" i="70"/>
  <c r="DR42" i="70"/>
  <c r="DS42" i="70"/>
  <c r="DT42" i="70"/>
  <c r="DU42" i="70"/>
  <c r="DV42" i="70"/>
  <c r="DW42" i="70"/>
  <c r="DX42" i="70"/>
  <c r="DY42" i="70"/>
  <c r="DZ42" i="70"/>
  <c r="EA42" i="70"/>
  <c r="EB42" i="70"/>
  <c r="EC42" i="70"/>
  <c r="ED42" i="70"/>
  <c r="EE42" i="70"/>
  <c r="EF42" i="70"/>
  <c r="EG42" i="70"/>
  <c r="EH42" i="70"/>
  <c r="EI42" i="70"/>
  <c r="EJ42" i="70"/>
  <c r="EK42" i="70"/>
  <c r="EL42" i="70"/>
  <c r="EM42" i="70"/>
  <c r="EN42" i="70"/>
  <c r="EO42" i="70"/>
  <c r="EP42" i="70"/>
  <c r="EQ42" i="70"/>
  <c r="ER42" i="70"/>
  <c r="ES42" i="70"/>
  <c r="ET42" i="70"/>
  <c r="EU42" i="70"/>
  <c r="EV42" i="70"/>
  <c r="EW42" i="70"/>
  <c r="EX42" i="70"/>
  <c r="EY42" i="70"/>
  <c r="EZ42" i="70"/>
  <c r="FA42" i="70"/>
  <c r="FB42" i="70"/>
  <c r="FC42" i="70"/>
  <c r="FD42" i="70"/>
  <c r="FE42" i="70"/>
  <c r="FF42" i="70"/>
  <c r="FG42" i="70"/>
  <c r="FH42" i="70"/>
  <c r="FI42" i="70"/>
  <c r="FJ42" i="70"/>
  <c r="FK42" i="70"/>
  <c r="FL42" i="70"/>
  <c r="FM42" i="70"/>
  <c r="FN42" i="70"/>
  <c r="FO42" i="70"/>
  <c r="FP42" i="70"/>
  <c r="FQ42" i="70"/>
  <c r="FR42" i="70"/>
  <c r="FS42" i="70"/>
  <c r="FT42" i="70"/>
  <c r="FU42" i="70"/>
  <c r="FV42" i="70"/>
  <c r="FW42" i="70"/>
  <c r="FX42" i="70"/>
  <c r="FY42" i="70"/>
  <c r="FZ42" i="70"/>
  <c r="GA42" i="70"/>
  <c r="GB42" i="70"/>
  <c r="GC42" i="70"/>
  <c r="U43" i="70"/>
  <c r="V43" i="70"/>
  <c r="X43" i="70"/>
  <c r="Y43" i="70"/>
  <c r="Z43" i="70"/>
  <c r="AA43" i="70"/>
  <c r="AI43" i="70"/>
  <c r="AJ43" i="70"/>
  <c r="AK43" i="70"/>
  <c r="AL43" i="70"/>
  <c r="AM43" i="70"/>
  <c r="AN43" i="70"/>
  <c r="AO43" i="70"/>
  <c r="AP43" i="70"/>
  <c r="AQ43" i="70"/>
  <c r="AR43" i="70"/>
  <c r="AS43" i="70"/>
  <c r="AT43" i="70"/>
  <c r="AU43" i="70"/>
  <c r="AV43" i="70"/>
  <c r="AW43" i="70"/>
  <c r="AX43" i="70"/>
  <c r="AY43" i="70"/>
  <c r="AZ43" i="70"/>
  <c r="BA43" i="70"/>
  <c r="BB43" i="70"/>
  <c r="BC43" i="70"/>
  <c r="BD43" i="70"/>
  <c r="BE43" i="70"/>
  <c r="BF43" i="70"/>
  <c r="BG43" i="70"/>
  <c r="BH43" i="70"/>
  <c r="BI43" i="70"/>
  <c r="BJ43" i="70"/>
  <c r="BK43" i="70"/>
  <c r="BL43" i="70"/>
  <c r="BM43" i="70"/>
  <c r="BN43" i="70"/>
  <c r="BO43" i="70"/>
  <c r="BP43" i="70"/>
  <c r="BQ43" i="70"/>
  <c r="BR43" i="70"/>
  <c r="BS43" i="70"/>
  <c r="BT43" i="70"/>
  <c r="BU43" i="70"/>
  <c r="BV43" i="70"/>
  <c r="BW43" i="70"/>
  <c r="BX43" i="70"/>
  <c r="BY43" i="70"/>
  <c r="BZ43" i="70"/>
  <c r="CA43" i="70"/>
  <c r="CB43" i="70"/>
  <c r="CC43" i="70"/>
  <c r="CD43" i="70"/>
  <c r="CE43" i="70"/>
  <c r="CF43" i="70"/>
  <c r="CG43" i="70"/>
  <c r="CH43" i="70"/>
  <c r="CI43" i="70"/>
  <c r="CJ43" i="70"/>
  <c r="CK43" i="70"/>
  <c r="CL43" i="70"/>
  <c r="CM43" i="70"/>
  <c r="CN43" i="70"/>
  <c r="CO43" i="70"/>
  <c r="CP43" i="70"/>
  <c r="CQ43" i="70"/>
  <c r="CR43" i="70"/>
  <c r="CS43" i="70"/>
  <c r="CT43" i="70"/>
  <c r="CU43" i="70"/>
  <c r="CV43" i="70"/>
  <c r="CW43" i="70"/>
  <c r="CX43" i="70"/>
  <c r="CY43" i="70"/>
  <c r="CZ43" i="70"/>
  <c r="DA43" i="70"/>
  <c r="DB43" i="70"/>
  <c r="DC43" i="70"/>
  <c r="DD43" i="70"/>
  <c r="DE43" i="70"/>
  <c r="DF43" i="70"/>
  <c r="DG43" i="70"/>
  <c r="DH43" i="70"/>
  <c r="DI43" i="70"/>
  <c r="DJ43" i="70"/>
  <c r="DK43" i="70"/>
  <c r="DL43" i="70"/>
  <c r="DM43" i="70"/>
  <c r="DN43" i="70"/>
  <c r="DO43" i="70"/>
  <c r="DP43" i="70"/>
  <c r="DQ43" i="70"/>
  <c r="DR43" i="70"/>
  <c r="DS43" i="70"/>
  <c r="DT43" i="70"/>
  <c r="DU43" i="70"/>
  <c r="DV43" i="70"/>
  <c r="DW43" i="70"/>
  <c r="DX43" i="70"/>
  <c r="DY43" i="70"/>
  <c r="DZ43" i="70"/>
  <c r="EA43" i="70"/>
  <c r="EB43" i="70"/>
  <c r="EC43" i="70"/>
  <c r="ED43" i="70"/>
  <c r="EE43" i="70"/>
  <c r="EF43" i="70"/>
  <c r="EG43" i="70"/>
  <c r="EH43" i="70"/>
  <c r="EI43" i="70"/>
  <c r="EJ43" i="70"/>
  <c r="EK43" i="70"/>
  <c r="EL43" i="70"/>
  <c r="EM43" i="70"/>
  <c r="EN43" i="70"/>
  <c r="EO43" i="70"/>
  <c r="EP43" i="70"/>
  <c r="EQ43" i="70"/>
  <c r="ER43" i="70"/>
  <c r="ES43" i="70"/>
  <c r="ET43" i="70"/>
  <c r="EU43" i="70"/>
  <c r="EV43" i="70"/>
  <c r="EW43" i="70"/>
  <c r="EX43" i="70"/>
  <c r="EY43" i="70"/>
  <c r="EZ43" i="70"/>
  <c r="FA43" i="70"/>
  <c r="FB43" i="70"/>
  <c r="FC43" i="70"/>
  <c r="FD43" i="70"/>
  <c r="FE43" i="70"/>
  <c r="FF43" i="70"/>
  <c r="FG43" i="70"/>
  <c r="FH43" i="70"/>
  <c r="FI43" i="70"/>
  <c r="FJ43" i="70"/>
  <c r="FK43" i="70"/>
  <c r="FL43" i="70"/>
  <c r="FM43" i="70"/>
  <c r="FN43" i="70"/>
  <c r="FO43" i="70"/>
  <c r="FP43" i="70"/>
  <c r="FQ43" i="70"/>
  <c r="FR43" i="70"/>
  <c r="FS43" i="70"/>
  <c r="FT43" i="70"/>
  <c r="FU43" i="70"/>
  <c r="FV43" i="70"/>
  <c r="FW43" i="70"/>
  <c r="FX43" i="70"/>
  <c r="FY43" i="70"/>
  <c r="FZ43" i="70"/>
  <c r="GA43" i="70"/>
  <c r="GB43" i="70"/>
  <c r="GC43" i="70"/>
  <c r="U44" i="70"/>
  <c r="V44" i="70"/>
  <c r="X44" i="70"/>
  <c r="Y44" i="70"/>
  <c r="Z44" i="70"/>
  <c r="AA44" i="70"/>
  <c r="AI44" i="70"/>
  <c r="AJ44" i="70"/>
  <c r="AK44" i="70"/>
  <c r="AL44" i="70"/>
  <c r="AM44" i="70"/>
  <c r="AN44" i="70"/>
  <c r="AO44" i="70"/>
  <c r="AP44" i="70"/>
  <c r="AQ44" i="70"/>
  <c r="AR44" i="70"/>
  <c r="AS44" i="70"/>
  <c r="AT44" i="70"/>
  <c r="AU44" i="70"/>
  <c r="AV44" i="70"/>
  <c r="AW44" i="70"/>
  <c r="AX44" i="70"/>
  <c r="AY44" i="70"/>
  <c r="AZ44" i="70"/>
  <c r="BA44" i="70"/>
  <c r="BB44" i="70"/>
  <c r="BC44" i="70"/>
  <c r="BD44" i="70"/>
  <c r="BE44" i="70"/>
  <c r="BF44" i="70"/>
  <c r="BG44" i="70"/>
  <c r="BH44" i="70"/>
  <c r="BI44" i="70"/>
  <c r="BJ44" i="70"/>
  <c r="BK44" i="70"/>
  <c r="BL44" i="70"/>
  <c r="BM44" i="70"/>
  <c r="BN44" i="70"/>
  <c r="BO44" i="70"/>
  <c r="BP44" i="70"/>
  <c r="BQ44" i="70"/>
  <c r="BR44" i="70"/>
  <c r="BS44" i="70"/>
  <c r="BT44" i="70"/>
  <c r="BU44" i="70"/>
  <c r="BV44" i="70"/>
  <c r="BW44" i="70"/>
  <c r="BX44" i="70"/>
  <c r="BY44" i="70"/>
  <c r="BZ44" i="70"/>
  <c r="CA44" i="70"/>
  <c r="CB44" i="70"/>
  <c r="CC44" i="70"/>
  <c r="CD44" i="70"/>
  <c r="CE44" i="70"/>
  <c r="CF44" i="70"/>
  <c r="CG44" i="70"/>
  <c r="CH44" i="70"/>
  <c r="CI44" i="70"/>
  <c r="CJ44" i="70"/>
  <c r="CK44" i="70"/>
  <c r="CL44" i="70"/>
  <c r="CM44" i="70"/>
  <c r="CN44" i="70"/>
  <c r="CO44" i="70"/>
  <c r="CP44" i="70"/>
  <c r="CQ44" i="70"/>
  <c r="CR44" i="70"/>
  <c r="CS44" i="70"/>
  <c r="CT44" i="70"/>
  <c r="CU44" i="70"/>
  <c r="CV44" i="70"/>
  <c r="CW44" i="70"/>
  <c r="CX44" i="70"/>
  <c r="CY44" i="70"/>
  <c r="CZ44" i="70"/>
  <c r="DA44" i="70"/>
  <c r="DB44" i="70"/>
  <c r="DC44" i="70"/>
  <c r="DD44" i="70"/>
  <c r="DE44" i="70"/>
  <c r="DF44" i="70"/>
  <c r="DG44" i="70"/>
  <c r="DH44" i="70"/>
  <c r="DI44" i="70"/>
  <c r="DJ44" i="70"/>
  <c r="DK44" i="70"/>
  <c r="DL44" i="70"/>
  <c r="DM44" i="70"/>
  <c r="DN44" i="70"/>
  <c r="DO44" i="70"/>
  <c r="DP44" i="70"/>
  <c r="DQ44" i="70"/>
  <c r="DR44" i="70"/>
  <c r="DS44" i="70"/>
  <c r="DT44" i="70"/>
  <c r="DU44" i="70"/>
  <c r="DV44" i="70"/>
  <c r="DW44" i="70"/>
  <c r="DX44" i="70"/>
  <c r="DY44" i="70"/>
  <c r="DZ44" i="70"/>
  <c r="EA44" i="70"/>
  <c r="EB44" i="70"/>
  <c r="EC44" i="70"/>
  <c r="ED44" i="70"/>
  <c r="EE44" i="70"/>
  <c r="EF44" i="70"/>
  <c r="EG44" i="70"/>
  <c r="EH44" i="70"/>
  <c r="EI44" i="70"/>
  <c r="EJ44" i="70"/>
  <c r="EK44" i="70"/>
  <c r="EL44" i="70"/>
  <c r="EM44" i="70"/>
  <c r="EN44" i="70"/>
  <c r="EO44" i="70"/>
  <c r="EP44" i="70"/>
  <c r="EQ44" i="70"/>
  <c r="ER44" i="70"/>
  <c r="ES44" i="70"/>
  <c r="ET44" i="70"/>
  <c r="EU44" i="70"/>
  <c r="EV44" i="70"/>
  <c r="EW44" i="70"/>
  <c r="EX44" i="70"/>
  <c r="EY44" i="70"/>
  <c r="EZ44" i="70"/>
  <c r="FA44" i="70"/>
  <c r="FB44" i="70"/>
  <c r="FC44" i="70"/>
  <c r="FD44" i="70"/>
  <c r="FE44" i="70"/>
  <c r="FF44" i="70"/>
  <c r="FG44" i="70"/>
  <c r="FH44" i="70"/>
  <c r="FI44" i="70"/>
  <c r="FJ44" i="70"/>
  <c r="FK44" i="70"/>
  <c r="FL44" i="70"/>
  <c r="FM44" i="70"/>
  <c r="FN44" i="70"/>
  <c r="FO44" i="70"/>
  <c r="FP44" i="70"/>
  <c r="FQ44" i="70"/>
  <c r="FR44" i="70"/>
  <c r="FS44" i="70"/>
  <c r="FT44" i="70"/>
  <c r="FU44" i="70"/>
  <c r="FV44" i="70"/>
  <c r="FW44" i="70"/>
  <c r="FX44" i="70"/>
  <c r="FY44" i="70"/>
  <c r="FZ44" i="70"/>
  <c r="GA44" i="70"/>
  <c r="GB44" i="70"/>
  <c r="GC44" i="70"/>
  <c r="U45" i="70"/>
  <c r="V45" i="70"/>
  <c r="X45" i="70"/>
  <c r="Y45" i="70"/>
  <c r="Z45" i="70"/>
  <c r="AA45" i="70"/>
  <c r="AI45" i="70"/>
  <c r="AJ45" i="70"/>
  <c r="AK45" i="70"/>
  <c r="AL45" i="70"/>
  <c r="AM45" i="70"/>
  <c r="AN45" i="70"/>
  <c r="AO45" i="70"/>
  <c r="AP45" i="70"/>
  <c r="AQ45" i="70"/>
  <c r="AR45" i="70"/>
  <c r="AS45" i="70"/>
  <c r="AT45" i="70"/>
  <c r="AU45" i="70"/>
  <c r="AV45" i="70"/>
  <c r="AW45" i="70"/>
  <c r="AX45" i="70"/>
  <c r="AY45" i="70"/>
  <c r="AZ45" i="70"/>
  <c r="BA45" i="70"/>
  <c r="BB45" i="70"/>
  <c r="BC45" i="70"/>
  <c r="BD45" i="70"/>
  <c r="BE45" i="70"/>
  <c r="BF45" i="70"/>
  <c r="BG45" i="70"/>
  <c r="BH45" i="70"/>
  <c r="BI45" i="70"/>
  <c r="BJ45" i="70"/>
  <c r="BK45" i="70"/>
  <c r="BL45" i="70"/>
  <c r="BM45" i="70"/>
  <c r="BN45" i="70"/>
  <c r="BO45" i="70"/>
  <c r="BP45" i="70"/>
  <c r="BQ45" i="70"/>
  <c r="BR45" i="70"/>
  <c r="BS45" i="70"/>
  <c r="BT45" i="70"/>
  <c r="BU45" i="70"/>
  <c r="BV45" i="70"/>
  <c r="BW45" i="70"/>
  <c r="BX45" i="70"/>
  <c r="BY45" i="70"/>
  <c r="BZ45" i="70"/>
  <c r="CA45" i="70"/>
  <c r="CB45" i="70"/>
  <c r="CC45" i="70"/>
  <c r="CD45" i="70"/>
  <c r="CE45" i="70"/>
  <c r="CF45" i="70"/>
  <c r="CG45" i="70"/>
  <c r="CH45" i="70"/>
  <c r="CI45" i="70"/>
  <c r="CJ45" i="70"/>
  <c r="CK45" i="70"/>
  <c r="CL45" i="70"/>
  <c r="CM45" i="70"/>
  <c r="CN45" i="70"/>
  <c r="CO45" i="70"/>
  <c r="CP45" i="70"/>
  <c r="CQ45" i="70"/>
  <c r="CR45" i="70"/>
  <c r="CS45" i="70"/>
  <c r="CT45" i="70"/>
  <c r="CU45" i="70"/>
  <c r="CV45" i="70"/>
  <c r="CW45" i="70"/>
  <c r="CX45" i="70"/>
  <c r="CY45" i="70"/>
  <c r="CZ45" i="70"/>
  <c r="DA45" i="70"/>
  <c r="DB45" i="70"/>
  <c r="DC45" i="70"/>
  <c r="DD45" i="70"/>
  <c r="DE45" i="70"/>
  <c r="DF45" i="70"/>
  <c r="DG45" i="70"/>
  <c r="DH45" i="70"/>
  <c r="DI45" i="70"/>
  <c r="DJ45" i="70"/>
  <c r="DK45" i="70"/>
  <c r="DL45" i="70"/>
  <c r="DM45" i="70"/>
  <c r="DN45" i="70"/>
  <c r="DO45" i="70"/>
  <c r="DP45" i="70"/>
  <c r="DQ45" i="70"/>
  <c r="DR45" i="70"/>
  <c r="DS45" i="70"/>
  <c r="DT45" i="70"/>
  <c r="DU45" i="70"/>
  <c r="DV45" i="70"/>
  <c r="DW45" i="70"/>
  <c r="DX45" i="70"/>
  <c r="DY45" i="70"/>
  <c r="DZ45" i="70"/>
  <c r="EA45" i="70"/>
  <c r="EB45" i="70"/>
  <c r="EC45" i="70"/>
  <c r="ED45" i="70"/>
  <c r="EE45" i="70"/>
  <c r="EF45" i="70"/>
  <c r="EG45" i="70"/>
  <c r="EH45" i="70"/>
  <c r="EI45" i="70"/>
  <c r="EJ45" i="70"/>
  <c r="EK45" i="70"/>
  <c r="EL45" i="70"/>
  <c r="EM45" i="70"/>
  <c r="EN45" i="70"/>
  <c r="EO45" i="70"/>
  <c r="EP45" i="70"/>
  <c r="EQ45" i="70"/>
  <c r="ER45" i="70"/>
  <c r="ES45" i="70"/>
  <c r="ET45" i="70"/>
  <c r="EU45" i="70"/>
  <c r="EV45" i="70"/>
  <c r="EW45" i="70"/>
  <c r="EX45" i="70"/>
  <c r="EY45" i="70"/>
  <c r="EZ45" i="70"/>
  <c r="FA45" i="70"/>
  <c r="FB45" i="70"/>
  <c r="FC45" i="70"/>
  <c r="FD45" i="70"/>
  <c r="FE45" i="70"/>
  <c r="FF45" i="70"/>
  <c r="FG45" i="70"/>
  <c r="FH45" i="70"/>
  <c r="FI45" i="70"/>
  <c r="FJ45" i="70"/>
  <c r="FK45" i="70"/>
  <c r="FL45" i="70"/>
  <c r="FM45" i="70"/>
  <c r="FN45" i="70"/>
  <c r="FO45" i="70"/>
  <c r="FP45" i="70"/>
  <c r="FQ45" i="70"/>
  <c r="FR45" i="70"/>
  <c r="FS45" i="70"/>
  <c r="FT45" i="70"/>
  <c r="FU45" i="70"/>
  <c r="FV45" i="70"/>
  <c r="FW45" i="70"/>
  <c r="FX45" i="70"/>
  <c r="FY45" i="70"/>
  <c r="FZ45" i="70"/>
  <c r="GA45" i="70"/>
  <c r="GB45" i="70"/>
  <c r="GC45" i="70"/>
  <c r="U46" i="70"/>
  <c r="V46" i="70"/>
  <c r="X46" i="70"/>
  <c r="Y46" i="70"/>
  <c r="Z46" i="70"/>
  <c r="AA46" i="70"/>
  <c r="AI46" i="70"/>
  <c r="AJ46" i="70"/>
  <c r="AK46" i="70"/>
  <c r="AL46" i="70"/>
  <c r="AM46" i="70"/>
  <c r="AN46" i="70"/>
  <c r="AO46" i="70"/>
  <c r="AP46" i="70"/>
  <c r="AQ46" i="70"/>
  <c r="AR46" i="70"/>
  <c r="AS46" i="70"/>
  <c r="AT46" i="70"/>
  <c r="AU46" i="70"/>
  <c r="AV46" i="70"/>
  <c r="AW46" i="70"/>
  <c r="AX46" i="70"/>
  <c r="AY46" i="70"/>
  <c r="AZ46" i="70"/>
  <c r="BA46" i="70"/>
  <c r="BB46" i="70"/>
  <c r="BC46" i="70"/>
  <c r="BD46" i="70"/>
  <c r="BE46" i="70"/>
  <c r="BF46" i="70"/>
  <c r="BG46" i="70"/>
  <c r="BH46" i="70"/>
  <c r="BI46" i="70"/>
  <c r="BJ46" i="70"/>
  <c r="BK46" i="70"/>
  <c r="BL46" i="70"/>
  <c r="BM46" i="70"/>
  <c r="BN46" i="70"/>
  <c r="BO46" i="70"/>
  <c r="BP46" i="70"/>
  <c r="BQ46" i="70"/>
  <c r="BR46" i="70"/>
  <c r="BS46" i="70"/>
  <c r="BT46" i="70"/>
  <c r="BU46" i="70"/>
  <c r="BV46" i="70"/>
  <c r="BW46" i="70"/>
  <c r="BX46" i="70"/>
  <c r="BY46" i="70"/>
  <c r="BZ46" i="70"/>
  <c r="CA46" i="70"/>
  <c r="CB46" i="70"/>
  <c r="CC46" i="70"/>
  <c r="CD46" i="70"/>
  <c r="CE46" i="70"/>
  <c r="CF46" i="70"/>
  <c r="CG46" i="70"/>
  <c r="CH46" i="70"/>
  <c r="CI46" i="70"/>
  <c r="CJ46" i="70"/>
  <c r="CK46" i="70"/>
  <c r="CL46" i="70"/>
  <c r="CM46" i="70"/>
  <c r="CN46" i="70"/>
  <c r="CO46" i="70"/>
  <c r="CP46" i="70"/>
  <c r="CQ46" i="70"/>
  <c r="CR46" i="70"/>
  <c r="CS46" i="70"/>
  <c r="CT46" i="70"/>
  <c r="CU46" i="70"/>
  <c r="CV46" i="70"/>
  <c r="CW46" i="70"/>
  <c r="CX46" i="70"/>
  <c r="CY46" i="70"/>
  <c r="CZ46" i="70"/>
  <c r="DA46" i="70"/>
  <c r="DB46" i="70"/>
  <c r="DC46" i="70"/>
  <c r="DD46" i="70"/>
  <c r="DE46" i="70"/>
  <c r="DF46" i="70"/>
  <c r="DG46" i="70"/>
  <c r="DH46" i="70"/>
  <c r="DI46" i="70"/>
  <c r="DJ46" i="70"/>
  <c r="DK46" i="70"/>
  <c r="DL46" i="70"/>
  <c r="DM46" i="70"/>
  <c r="DN46" i="70"/>
  <c r="DO46" i="70"/>
  <c r="DP46" i="70"/>
  <c r="DQ46" i="70"/>
  <c r="DR46" i="70"/>
  <c r="DS46" i="70"/>
  <c r="DT46" i="70"/>
  <c r="DU46" i="70"/>
  <c r="DV46" i="70"/>
  <c r="DW46" i="70"/>
  <c r="DX46" i="70"/>
  <c r="DY46" i="70"/>
  <c r="DZ46" i="70"/>
  <c r="EA46" i="70"/>
  <c r="EB46" i="70"/>
  <c r="EC46" i="70"/>
  <c r="ED46" i="70"/>
  <c r="EE46" i="70"/>
  <c r="EF46" i="70"/>
  <c r="EG46" i="70"/>
  <c r="EH46" i="70"/>
  <c r="EI46" i="70"/>
  <c r="EJ46" i="70"/>
  <c r="EK46" i="70"/>
  <c r="EL46" i="70"/>
  <c r="EM46" i="70"/>
  <c r="EN46" i="70"/>
  <c r="EO46" i="70"/>
  <c r="EP46" i="70"/>
  <c r="EQ46" i="70"/>
  <c r="ER46" i="70"/>
  <c r="ES46" i="70"/>
  <c r="ET46" i="70"/>
  <c r="EU46" i="70"/>
  <c r="EV46" i="70"/>
  <c r="EW46" i="70"/>
  <c r="EX46" i="70"/>
  <c r="EY46" i="70"/>
  <c r="EZ46" i="70"/>
  <c r="FA46" i="70"/>
  <c r="FB46" i="70"/>
  <c r="FC46" i="70"/>
  <c r="FD46" i="70"/>
  <c r="FE46" i="70"/>
  <c r="FF46" i="70"/>
  <c r="FG46" i="70"/>
  <c r="FH46" i="70"/>
  <c r="FI46" i="70"/>
  <c r="FJ46" i="70"/>
  <c r="FK46" i="70"/>
  <c r="FL46" i="70"/>
  <c r="FM46" i="70"/>
  <c r="FN46" i="70"/>
  <c r="FO46" i="70"/>
  <c r="FP46" i="70"/>
  <c r="FQ46" i="70"/>
  <c r="FR46" i="70"/>
  <c r="FS46" i="70"/>
  <c r="FT46" i="70"/>
  <c r="FU46" i="70"/>
  <c r="FV46" i="70"/>
  <c r="FW46" i="70"/>
  <c r="FX46" i="70"/>
  <c r="FY46" i="70"/>
  <c r="FZ46" i="70"/>
  <c r="GA46" i="70"/>
  <c r="GB46" i="70"/>
  <c r="GC46" i="70"/>
  <c r="U47" i="70"/>
  <c r="V47" i="70"/>
  <c r="X47" i="70"/>
  <c r="Y47" i="70"/>
  <c r="Z47" i="70"/>
  <c r="AA47" i="70"/>
  <c r="AI47" i="70"/>
  <c r="AJ47" i="70"/>
  <c r="AK47" i="70"/>
  <c r="AL47" i="70"/>
  <c r="AM47" i="70"/>
  <c r="AN47" i="70"/>
  <c r="AO47" i="70"/>
  <c r="AP47" i="70"/>
  <c r="AQ47" i="70"/>
  <c r="AR47" i="70"/>
  <c r="AS47" i="70"/>
  <c r="AT47" i="70"/>
  <c r="AU47" i="70"/>
  <c r="AV47" i="70"/>
  <c r="AW47" i="70"/>
  <c r="AX47" i="70"/>
  <c r="AY47" i="70"/>
  <c r="AZ47" i="70"/>
  <c r="BA47" i="70"/>
  <c r="BB47" i="70"/>
  <c r="BC47" i="70"/>
  <c r="BD47" i="70"/>
  <c r="BE47" i="70"/>
  <c r="BF47" i="70"/>
  <c r="BG47" i="70"/>
  <c r="BH47" i="70"/>
  <c r="BI47" i="70"/>
  <c r="BJ47" i="70"/>
  <c r="BK47" i="70"/>
  <c r="BL47" i="70"/>
  <c r="BM47" i="70"/>
  <c r="BN47" i="70"/>
  <c r="BO47" i="70"/>
  <c r="BP47" i="70"/>
  <c r="BQ47" i="70"/>
  <c r="BR47" i="70"/>
  <c r="BS47" i="70"/>
  <c r="BT47" i="70"/>
  <c r="BU47" i="70"/>
  <c r="BV47" i="70"/>
  <c r="BW47" i="70"/>
  <c r="BX47" i="70"/>
  <c r="BY47" i="70"/>
  <c r="BZ47" i="70"/>
  <c r="CA47" i="70"/>
  <c r="CB47" i="70"/>
  <c r="CC47" i="70"/>
  <c r="CD47" i="70"/>
  <c r="CE47" i="70"/>
  <c r="CF47" i="70"/>
  <c r="CG47" i="70"/>
  <c r="CH47" i="70"/>
  <c r="CI47" i="70"/>
  <c r="CJ47" i="70"/>
  <c r="CK47" i="70"/>
  <c r="CL47" i="70"/>
  <c r="CM47" i="70"/>
  <c r="CN47" i="70"/>
  <c r="CO47" i="70"/>
  <c r="CP47" i="70"/>
  <c r="CQ47" i="70"/>
  <c r="CR47" i="70"/>
  <c r="CS47" i="70"/>
  <c r="CT47" i="70"/>
  <c r="CU47" i="70"/>
  <c r="CV47" i="70"/>
  <c r="CW47" i="70"/>
  <c r="CX47" i="70"/>
  <c r="CY47" i="70"/>
  <c r="CZ47" i="70"/>
  <c r="DA47" i="70"/>
  <c r="DB47" i="70"/>
  <c r="DC47" i="70"/>
  <c r="DD47" i="70"/>
  <c r="DE47" i="70"/>
  <c r="DF47" i="70"/>
  <c r="DG47" i="70"/>
  <c r="DH47" i="70"/>
  <c r="DI47" i="70"/>
  <c r="DJ47" i="70"/>
  <c r="DK47" i="70"/>
  <c r="DL47" i="70"/>
  <c r="DM47" i="70"/>
  <c r="DN47" i="70"/>
  <c r="DO47" i="70"/>
  <c r="DP47" i="70"/>
  <c r="DQ47" i="70"/>
  <c r="DR47" i="70"/>
  <c r="DS47" i="70"/>
  <c r="DT47" i="70"/>
  <c r="DU47" i="70"/>
  <c r="DV47" i="70"/>
  <c r="DW47" i="70"/>
  <c r="DX47" i="70"/>
  <c r="DY47" i="70"/>
  <c r="DZ47" i="70"/>
  <c r="EA47" i="70"/>
  <c r="EB47" i="70"/>
  <c r="EC47" i="70"/>
  <c r="ED47" i="70"/>
  <c r="EE47" i="70"/>
  <c r="EF47" i="70"/>
  <c r="EG47" i="70"/>
  <c r="EH47" i="70"/>
  <c r="EI47" i="70"/>
  <c r="EJ47" i="70"/>
  <c r="EK47" i="70"/>
  <c r="EL47" i="70"/>
  <c r="EM47" i="70"/>
  <c r="EN47" i="70"/>
  <c r="EO47" i="70"/>
  <c r="EP47" i="70"/>
  <c r="EQ47" i="70"/>
  <c r="ER47" i="70"/>
  <c r="ES47" i="70"/>
  <c r="ET47" i="70"/>
  <c r="EU47" i="70"/>
  <c r="EV47" i="70"/>
  <c r="EW47" i="70"/>
  <c r="EX47" i="70"/>
  <c r="EY47" i="70"/>
  <c r="EZ47" i="70"/>
  <c r="FA47" i="70"/>
  <c r="FB47" i="70"/>
  <c r="FC47" i="70"/>
  <c r="FD47" i="70"/>
  <c r="FE47" i="70"/>
  <c r="FF47" i="70"/>
  <c r="FG47" i="70"/>
  <c r="FH47" i="70"/>
  <c r="FI47" i="70"/>
  <c r="FJ47" i="70"/>
  <c r="FK47" i="70"/>
  <c r="FL47" i="70"/>
  <c r="FM47" i="70"/>
  <c r="FN47" i="70"/>
  <c r="FO47" i="70"/>
  <c r="FP47" i="70"/>
  <c r="FQ47" i="70"/>
  <c r="FR47" i="70"/>
  <c r="FS47" i="70"/>
  <c r="FT47" i="70"/>
  <c r="FU47" i="70"/>
  <c r="FV47" i="70"/>
  <c r="FW47" i="70"/>
  <c r="FX47" i="70"/>
  <c r="FY47" i="70"/>
  <c r="FZ47" i="70"/>
  <c r="GA47" i="70"/>
  <c r="GB47" i="70"/>
  <c r="GC47" i="70"/>
  <c r="U48" i="70"/>
  <c r="V48" i="70"/>
  <c r="X48" i="70"/>
  <c r="Y48" i="70"/>
  <c r="Z48" i="70"/>
  <c r="AA48" i="70"/>
  <c r="AI48" i="70"/>
  <c r="AJ48" i="70"/>
  <c r="AK48" i="70"/>
  <c r="AL48" i="70"/>
  <c r="AM48" i="70"/>
  <c r="AN48" i="70"/>
  <c r="AO48" i="70"/>
  <c r="AP48" i="70"/>
  <c r="AQ48" i="70"/>
  <c r="AR48" i="70"/>
  <c r="AS48" i="70"/>
  <c r="AT48" i="70"/>
  <c r="AU48" i="70"/>
  <c r="AV48" i="70"/>
  <c r="AW48" i="70"/>
  <c r="AX48" i="70"/>
  <c r="AY48" i="70"/>
  <c r="AZ48" i="70"/>
  <c r="BA48" i="70"/>
  <c r="BB48" i="70"/>
  <c r="BC48" i="70"/>
  <c r="BD48" i="70"/>
  <c r="BE48" i="70"/>
  <c r="BF48" i="70"/>
  <c r="BG48" i="70"/>
  <c r="BH48" i="70"/>
  <c r="BI48" i="70"/>
  <c r="BJ48" i="70"/>
  <c r="BK48" i="70"/>
  <c r="BL48" i="70"/>
  <c r="BM48" i="70"/>
  <c r="BN48" i="70"/>
  <c r="BO48" i="70"/>
  <c r="BP48" i="70"/>
  <c r="BQ48" i="70"/>
  <c r="BR48" i="70"/>
  <c r="BS48" i="70"/>
  <c r="BT48" i="70"/>
  <c r="BU48" i="70"/>
  <c r="BV48" i="70"/>
  <c r="BW48" i="70"/>
  <c r="BX48" i="70"/>
  <c r="BY48" i="70"/>
  <c r="BZ48" i="70"/>
  <c r="CA48" i="70"/>
  <c r="CB48" i="70"/>
  <c r="CC48" i="70"/>
  <c r="CD48" i="70"/>
  <c r="CE48" i="70"/>
  <c r="CF48" i="70"/>
  <c r="CG48" i="70"/>
  <c r="CH48" i="70"/>
  <c r="CI48" i="70"/>
  <c r="CJ48" i="70"/>
  <c r="CK48" i="70"/>
  <c r="CL48" i="70"/>
  <c r="CM48" i="70"/>
  <c r="CN48" i="70"/>
  <c r="CO48" i="70"/>
  <c r="CP48" i="70"/>
  <c r="CQ48" i="70"/>
  <c r="CR48" i="70"/>
  <c r="CS48" i="70"/>
  <c r="CT48" i="70"/>
  <c r="CU48" i="70"/>
  <c r="CV48" i="70"/>
  <c r="CW48" i="70"/>
  <c r="CX48" i="70"/>
  <c r="CY48" i="70"/>
  <c r="CZ48" i="70"/>
  <c r="DA48" i="70"/>
  <c r="DB48" i="70"/>
  <c r="DC48" i="70"/>
  <c r="DD48" i="70"/>
  <c r="DE48" i="70"/>
  <c r="DF48" i="70"/>
  <c r="DG48" i="70"/>
  <c r="DH48" i="70"/>
  <c r="DI48" i="70"/>
  <c r="DJ48" i="70"/>
  <c r="DK48" i="70"/>
  <c r="DL48" i="70"/>
  <c r="DM48" i="70"/>
  <c r="DN48" i="70"/>
  <c r="DO48" i="70"/>
  <c r="DP48" i="70"/>
  <c r="DQ48" i="70"/>
  <c r="DR48" i="70"/>
  <c r="DS48" i="70"/>
  <c r="DT48" i="70"/>
  <c r="DU48" i="70"/>
  <c r="DV48" i="70"/>
  <c r="DW48" i="70"/>
  <c r="DX48" i="70"/>
  <c r="DY48" i="70"/>
  <c r="DZ48" i="70"/>
  <c r="EA48" i="70"/>
  <c r="EB48" i="70"/>
  <c r="EC48" i="70"/>
  <c r="ED48" i="70"/>
  <c r="EE48" i="70"/>
  <c r="EF48" i="70"/>
  <c r="EG48" i="70"/>
  <c r="EH48" i="70"/>
  <c r="EI48" i="70"/>
  <c r="EJ48" i="70"/>
  <c r="EK48" i="70"/>
  <c r="EL48" i="70"/>
  <c r="EM48" i="70"/>
  <c r="EN48" i="70"/>
  <c r="EO48" i="70"/>
  <c r="EP48" i="70"/>
  <c r="EQ48" i="70"/>
  <c r="ER48" i="70"/>
  <c r="ES48" i="70"/>
  <c r="ET48" i="70"/>
  <c r="EU48" i="70"/>
  <c r="EV48" i="70"/>
  <c r="EW48" i="70"/>
  <c r="EX48" i="70"/>
  <c r="EY48" i="70"/>
  <c r="EZ48" i="70"/>
  <c r="FA48" i="70"/>
  <c r="FB48" i="70"/>
  <c r="FC48" i="70"/>
  <c r="FD48" i="70"/>
  <c r="FE48" i="70"/>
  <c r="FF48" i="70"/>
  <c r="FG48" i="70"/>
  <c r="FH48" i="70"/>
  <c r="FI48" i="70"/>
  <c r="FJ48" i="70"/>
  <c r="FK48" i="70"/>
  <c r="FL48" i="70"/>
  <c r="FM48" i="70"/>
  <c r="FN48" i="70"/>
  <c r="FO48" i="70"/>
  <c r="FP48" i="70"/>
  <c r="FQ48" i="70"/>
  <c r="FR48" i="70"/>
  <c r="FS48" i="70"/>
  <c r="FT48" i="70"/>
  <c r="FU48" i="70"/>
  <c r="FV48" i="70"/>
  <c r="FW48" i="70"/>
  <c r="FX48" i="70"/>
  <c r="FY48" i="70"/>
  <c r="FZ48" i="70"/>
  <c r="GA48" i="70"/>
  <c r="GB48" i="70"/>
  <c r="GC48" i="70"/>
  <c r="U49" i="70"/>
  <c r="V49" i="70"/>
  <c r="X49" i="70"/>
  <c r="Y49" i="70"/>
  <c r="Z49" i="70"/>
  <c r="AA49" i="70"/>
  <c r="AI49" i="70"/>
  <c r="AJ49" i="70"/>
  <c r="AK49" i="70"/>
  <c r="AL49" i="70"/>
  <c r="AM49" i="70"/>
  <c r="AN49" i="70"/>
  <c r="AO49" i="70"/>
  <c r="AP49" i="70"/>
  <c r="AQ49" i="70"/>
  <c r="AR49" i="70"/>
  <c r="AS49" i="70"/>
  <c r="AT49" i="70"/>
  <c r="AU49" i="70"/>
  <c r="AV49" i="70"/>
  <c r="AW49" i="70"/>
  <c r="AX49" i="70"/>
  <c r="AY49" i="70"/>
  <c r="AZ49" i="70"/>
  <c r="BA49" i="70"/>
  <c r="BB49" i="70"/>
  <c r="BC49" i="70"/>
  <c r="BD49" i="70"/>
  <c r="BE49" i="70"/>
  <c r="BF49" i="70"/>
  <c r="BG49" i="70"/>
  <c r="BH49" i="70"/>
  <c r="BI49" i="70"/>
  <c r="BJ49" i="70"/>
  <c r="BK49" i="70"/>
  <c r="BL49" i="70"/>
  <c r="BM49" i="70"/>
  <c r="BN49" i="70"/>
  <c r="BO49" i="70"/>
  <c r="BP49" i="70"/>
  <c r="BQ49" i="70"/>
  <c r="BR49" i="70"/>
  <c r="BS49" i="70"/>
  <c r="BT49" i="70"/>
  <c r="BU49" i="70"/>
  <c r="BV49" i="70"/>
  <c r="BW49" i="70"/>
  <c r="BX49" i="70"/>
  <c r="BY49" i="70"/>
  <c r="BZ49" i="70"/>
  <c r="CA49" i="70"/>
  <c r="CB49" i="70"/>
  <c r="CC49" i="70"/>
  <c r="CD49" i="70"/>
  <c r="CE49" i="70"/>
  <c r="CF49" i="70"/>
  <c r="CG49" i="70"/>
  <c r="CH49" i="70"/>
  <c r="CI49" i="70"/>
  <c r="CJ49" i="70"/>
  <c r="CK49" i="70"/>
  <c r="CL49" i="70"/>
  <c r="CM49" i="70"/>
  <c r="CN49" i="70"/>
  <c r="CO49" i="70"/>
  <c r="CP49" i="70"/>
  <c r="CQ49" i="70"/>
  <c r="CR49" i="70"/>
  <c r="CS49" i="70"/>
  <c r="CT49" i="70"/>
  <c r="CU49" i="70"/>
  <c r="CV49" i="70"/>
  <c r="CW49" i="70"/>
  <c r="CX49" i="70"/>
  <c r="CY49" i="70"/>
  <c r="CZ49" i="70"/>
  <c r="DA49" i="70"/>
  <c r="DB49" i="70"/>
  <c r="DC49" i="70"/>
  <c r="DD49" i="70"/>
  <c r="DE49" i="70"/>
  <c r="DF49" i="70"/>
  <c r="DG49" i="70"/>
  <c r="DH49" i="70"/>
  <c r="DI49" i="70"/>
  <c r="DJ49" i="70"/>
  <c r="DK49" i="70"/>
  <c r="DL49" i="70"/>
  <c r="DM49" i="70"/>
  <c r="DN49" i="70"/>
  <c r="DO49" i="70"/>
  <c r="DP49" i="70"/>
  <c r="DQ49" i="70"/>
  <c r="DR49" i="70"/>
  <c r="DS49" i="70"/>
  <c r="DT49" i="70"/>
  <c r="DU49" i="70"/>
  <c r="DV49" i="70"/>
  <c r="DW49" i="70"/>
  <c r="DX49" i="70"/>
  <c r="DY49" i="70"/>
  <c r="DZ49" i="70"/>
  <c r="EA49" i="70"/>
  <c r="EB49" i="70"/>
  <c r="EC49" i="70"/>
  <c r="ED49" i="70"/>
  <c r="EE49" i="70"/>
  <c r="EF49" i="70"/>
  <c r="EG49" i="70"/>
  <c r="EH49" i="70"/>
  <c r="EI49" i="70"/>
  <c r="EJ49" i="70"/>
  <c r="EK49" i="70"/>
  <c r="EL49" i="70"/>
  <c r="EM49" i="70"/>
  <c r="EN49" i="70"/>
  <c r="EO49" i="70"/>
  <c r="EP49" i="70"/>
  <c r="EQ49" i="70"/>
  <c r="ER49" i="70"/>
  <c r="ES49" i="70"/>
  <c r="ET49" i="70"/>
  <c r="EU49" i="70"/>
  <c r="EV49" i="70"/>
  <c r="EW49" i="70"/>
  <c r="EX49" i="70"/>
  <c r="EY49" i="70"/>
  <c r="EZ49" i="70"/>
  <c r="FA49" i="70"/>
  <c r="FB49" i="70"/>
  <c r="FC49" i="70"/>
  <c r="FD49" i="70"/>
  <c r="FE49" i="70"/>
  <c r="FF49" i="70"/>
  <c r="FG49" i="70"/>
  <c r="FH49" i="70"/>
  <c r="FI49" i="70"/>
  <c r="FJ49" i="70"/>
  <c r="FK49" i="70"/>
  <c r="FL49" i="70"/>
  <c r="FM49" i="70"/>
  <c r="FN49" i="70"/>
  <c r="FO49" i="70"/>
  <c r="FP49" i="70"/>
  <c r="FQ49" i="70"/>
  <c r="FR49" i="70"/>
  <c r="FS49" i="70"/>
  <c r="FT49" i="70"/>
  <c r="FU49" i="70"/>
  <c r="FV49" i="70"/>
  <c r="FW49" i="70"/>
  <c r="FX49" i="70"/>
  <c r="FY49" i="70"/>
  <c r="FZ49" i="70"/>
  <c r="GA49" i="70"/>
  <c r="GB49" i="70"/>
  <c r="GC49" i="70"/>
  <c r="U50" i="70"/>
  <c r="V50" i="70"/>
  <c r="X50" i="70"/>
  <c r="Y50" i="70"/>
  <c r="Z50" i="70"/>
  <c r="AA50" i="70"/>
  <c r="AI50" i="70"/>
  <c r="AJ50" i="70"/>
  <c r="AK50" i="70"/>
  <c r="AL50" i="70"/>
  <c r="AM50" i="70"/>
  <c r="AN50" i="70"/>
  <c r="AO50" i="70"/>
  <c r="AP50" i="70"/>
  <c r="AQ50" i="70"/>
  <c r="AR50" i="70"/>
  <c r="AS50" i="70"/>
  <c r="AT50" i="70"/>
  <c r="AU50" i="70"/>
  <c r="AV50" i="70"/>
  <c r="AW50" i="70"/>
  <c r="AX50" i="70"/>
  <c r="AY50" i="70"/>
  <c r="AZ50" i="70"/>
  <c r="BA50" i="70"/>
  <c r="BB50" i="70"/>
  <c r="BC50" i="70"/>
  <c r="BD50" i="70"/>
  <c r="BE50" i="70"/>
  <c r="BF50" i="70"/>
  <c r="BG50" i="70"/>
  <c r="BH50" i="70"/>
  <c r="BI50" i="70"/>
  <c r="BJ50" i="70"/>
  <c r="BK50" i="70"/>
  <c r="BL50" i="70"/>
  <c r="BM50" i="70"/>
  <c r="BN50" i="70"/>
  <c r="BO50" i="70"/>
  <c r="BP50" i="70"/>
  <c r="BQ50" i="70"/>
  <c r="BR50" i="70"/>
  <c r="BS50" i="70"/>
  <c r="BT50" i="70"/>
  <c r="BU50" i="70"/>
  <c r="BV50" i="70"/>
  <c r="BW50" i="70"/>
  <c r="BX50" i="70"/>
  <c r="BY50" i="70"/>
  <c r="BZ50" i="70"/>
  <c r="CA50" i="70"/>
  <c r="CB50" i="70"/>
  <c r="CC50" i="70"/>
  <c r="CD50" i="70"/>
  <c r="CE50" i="70"/>
  <c r="CF50" i="70"/>
  <c r="CG50" i="70"/>
  <c r="CH50" i="70"/>
  <c r="CI50" i="70"/>
  <c r="CJ50" i="70"/>
  <c r="CK50" i="70"/>
  <c r="CL50" i="70"/>
  <c r="CM50" i="70"/>
  <c r="CN50" i="70"/>
  <c r="CO50" i="70"/>
  <c r="CP50" i="70"/>
  <c r="CQ50" i="70"/>
  <c r="CR50" i="70"/>
  <c r="CS50" i="70"/>
  <c r="CT50" i="70"/>
  <c r="CU50" i="70"/>
  <c r="CV50" i="70"/>
  <c r="CW50" i="70"/>
  <c r="CX50" i="70"/>
  <c r="CY50" i="70"/>
  <c r="CZ50" i="70"/>
  <c r="DA50" i="70"/>
  <c r="DB50" i="70"/>
  <c r="DC50" i="70"/>
  <c r="DD50" i="70"/>
  <c r="DE50" i="70"/>
  <c r="DF50" i="70"/>
  <c r="DG50" i="70"/>
  <c r="DH50" i="70"/>
  <c r="DI50" i="70"/>
  <c r="DJ50" i="70"/>
  <c r="DK50" i="70"/>
  <c r="DL50" i="70"/>
  <c r="DM50" i="70"/>
  <c r="DN50" i="70"/>
  <c r="DO50" i="70"/>
  <c r="DP50" i="70"/>
  <c r="DQ50" i="70"/>
  <c r="DR50" i="70"/>
  <c r="DS50" i="70"/>
  <c r="DT50" i="70"/>
  <c r="DU50" i="70"/>
  <c r="DV50" i="70"/>
  <c r="DW50" i="70"/>
  <c r="DX50" i="70"/>
  <c r="DY50" i="70"/>
  <c r="DZ50" i="70"/>
  <c r="EA50" i="70"/>
  <c r="EB50" i="70"/>
  <c r="EC50" i="70"/>
  <c r="ED50" i="70"/>
  <c r="EE50" i="70"/>
  <c r="EF50" i="70"/>
  <c r="EG50" i="70"/>
  <c r="EH50" i="70"/>
  <c r="EI50" i="70"/>
  <c r="EJ50" i="70"/>
  <c r="EK50" i="70"/>
  <c r="EL50" i="70"/>
  <c r="EM50" i="70"/>
  <c r="EN50" i="70"/>
  <c r="EO50" i="70"/>
  <c r="EP50" i="70"/>
  <c r="EQ50" i="70"/>
  <c r="ER50" i="70"/>
  <c r="ES50" i="70"/>
  <c r="ET50" i="70"/>
  <c r="EU50" i="70"/>
  <c r="EV50" i="70"/>
  <c r="EW50" i="70"/>
  <c r="EX50" i="70"/>
  <c r="EY50" i="70"/>
  <c r="EZ50" i="70"/>
  <c r="FA50" i="70"/>
  <c r="FB50" i="70"/>
  <c r="FC50" i="70"/>
  <c r="FD50" i="70"/>
  <c r="FE50" i="70"/>
  <c r="FF50" i="70"/>
  <c r="FG50" i="70"/>
  <c r="FH50" i="70"/>
  <c r="FI50" i="70"/>
  <c r="FJ50" i="70"/>
  <c r="FK50" i="70"/>
  <c r="FL50" i="70"/>
  <c r="FM50" i="70"/>
  <c r="FN50" i="70"/>
  <c r="FO50" i="70"/>
  <c r="FP50" i="70"/>
  <c r="FQ50" i="70"/>
  <c r="FR50" i="70"/>
  <c r="FS50" i="70"/>
  <c r="FT50" i="70"/>
  <c r="FU50" i="70"/>
  <c r="FV50" i="70"/>
  <c r="FW50" i="70"/>
  <c r="FX50" i="70"/>
  <c r="FY50" i="70"/>
  <c r="FZ50" i="70"/>
  <c r="GA50" i="70"/>
  <c r="GB50" i="70"/>
  <c r="GC50" i="70"/>
  <c r="U51" i="70"/>
  <c r="V51" i="70"/>
  <c r="X51" i="70"/>
  <c r="Y51" i="70"/>
  <c r="Z51" i="70"/>
  <c r="AA51" i="70"/>
  <c r="AI51" i="70"/>
  <c r="AJ51" i="70"/>
  <c r="AK51" i="70"/>
  <c r="AL51" i="70"/>
  <c r="AM51" i="70"/>
  <c r="AN51" i="70"/>
  <c r="AO51" i="70"/>
  <c r="AP51" i="70"/>
  <c r="AQ51" i="70"/>
  <c r="AR51" i="70"/>
  <c r="AS51" i="70"/>
  <c r="AT51" i="70"/>
  <c r="AU51" i="70"/>
  <c r="AV51" i="70"/>
  <c r="AW51" i="70"/>
  <c r="AX51" i="70"/>
  <c r="AY51" i="70"/>
  <c r="AZ51" i="70"/>
  <c r="BA51" i="70"/>
  <c r="BB51" i="70"/>
  <c r="BC51" i="70"/>
  <c r="BD51" i="70"/>
  <c r="BE51" i="70"/>
  <c r="BF51" i="70"/>
  <c r="BG51" i="70"/>
  <c r="BH51" i="70"/>
  <c r="BI51" i="70"/>
  <c r="BJ51" i="70"/>
  <c r="BK51" i="70"/>
  <c r="BL51" i="70"/>
  <c r="BM51" i="70"/>
  <c r="BN51" i="70"/>
  <c r="BO51" i="70"/>
  <c r="BP51" i="70"/>
  <c r="BQ51" i="70"/>
  <c r="BR51" i="70"/>
  <c r="BS51" i="70"/>
  <c r="BT51" i="70"/>
  <c r="BU51" i="70"/>
  <c r="BV51" i="70"/>
  <c r="BW51" i="70"/>
  <c r="BX51" i="70"/>
  <c r="BY51" i="70"/>
  <c r="BZ51" i="70"/>
  <c r="CA51" i="70"/>
  <c r="CB51" i="70"/>
  <c r="CC51" i="70"/>
  <c r="CD51" i="70"/>
  <c r="CE51" i="70"/>
  <c r="CF51" i="70"/>
  <c r="CG51" i="70"/>
  <c r="CH51" i="70"/>
  <c r="CI51" i="70"/>
  <c r="CJ51" i="70"/>
  <c r="CK51" i="70"/>
  <c r="CL51" i="70"/>
  <c r="CM51" i="70"/>
  <c r="CN51" i="70"/>
  <c r="CO51" i="70"/>
  <c r="CP51" i="70"/>
  <c r="CQ51" i="70"/>
  <c r="CR51" i="70"/>
  <c r="CS51" i="70"/>
  <c r="CT51" i="70"/>
  <c r="CU51" i="70"/>
  <c r="CV51" i="70"/>
  <c r="CW51" i="70"/>
  <c r="CX51" i="70"/>
  <c r="CY51" i="70"/>
  <c r="CZ51" i="70"/>
  <c r="DA51" i="70"/>
  <c r="DB51" i="70"/>
  <c r="DC51" i="70"/>
  <c r="DD51" i="70"/>
  <c r="DE51" i="70"/>
  <c r="DF51" i="70"/>
  <c r="DG51" i="70"/>
  <c r="DH51" i="70"/>
  <c r="DI51" i="70"/>
  <c r="DJ51" i="70"/>
  <c r="DK51" i="70"/>
  <c r="DL51" i="70"/>
  <c r="DM51" i="70"/>
  <c r="DN51" i="70"/>
  <c r="DO51" i="70"/>
  <c r="DP51" i="70"/>
  <c r="DQ51" i="70"/>
  <c r="DR51" i="70"/>
  <c r="DS51" i="70"/>
  <c r="DT51" i="70"/>
  <c r="DU51" i="70"/>
  <c r="DV51" i="70"/>
  <c r="DW51" i="70"/>
  <c r="DX51" i="70"/>
  <c r="DY51" i="70"/>
  <c r="DZ51" i="70"/>
  <c r="EA51" i="70"/>
  <c r="EB51" i="70"/>
  <c r="EC51" i="70"/>
  <c r="ED51" i="70"/>
  <c r="EE51" i="70"/>
  <c r="EF51" i="70"/>
  <c r="EG51" i="70"/>
  <c r="EH51" i="70"/>
  <c r="EI51" i="70"/>
  <c r="EJ51" i="70"/>
  <c r="EK51" i="70"/>
  <c r="EL51" i="70"/>
  <c r="EM51" i="70"/>
  <c r="EN51" i="70"/>
  <c r="EO51" i="70"/>
  <c r="EP51" i="70"/>
  <c r="EQ51" i="70"/>
  <c r="ER51" i="70"/>
  <c r="ES51" i="70"/>
  <c r="ET51" i="70"/>
  <c r="EU51" i="70"/>
  <c r="EV51" i="70"/>
  <c r="EW51" i="70"/>
  <c r="EX51" i="70"/>
  <c r="EY51" i="70"/>
  <c r="EZ51" i="70"/>
  <c r="FA51" i="70"/>
  <c r="FB51" i="70"/>
  <c r="FC51" i="70"/>
  <c r="FD51" i="70"/>
  <c r="FE51" i="70"/>
  <c r="FF51" i="70"/>
  <c r="FG51" i="70"/>
  <c r="FH51" i="70"/>
  <c r="FI51" i="70"/>
  <c r="FJ51" i="70"/>
  <c r="FK51" i="70"/>
  <c r="FL51" i="70"/>
  <c r="FM51" i="70"/>
  <c r="FN51" i="70"/>
  <c r="FO51" i="70"/>
  <c r="FP51" i="70"/>
  <c r="FQ51" i="70"/>
  <c r="FR51" i="70"/>
  <c r="FS51" i="70"/>
  <c r="FT51" i="70"/>
  <c r="FU51" i="70"/>
  <c r="FV51" i="70"/>
  <c r="FW51" i="70"/>
  <c r="FX51" i="70"/>
  <c r="FY51" i="70"/>
  <c r="FZ51" i="70"/>
  <c r="GA51" i="70"/>
  <c r="GB51" i="70"/>
  <c r="GC51" i="70"/>
  <c r="U52" i="70"/>
  <c r="V52" i="70"/>
  <c r="X52" i="70"/>
  <c r="Y52" i="70"/>
  <c r="Z52" i="70"/>
  <c r="AA52" i="70"/>
  <c r="AI52" i="70"/>
  <c r="AJ52" i="70"/>
  <c r="AK52" i="70"/>
  <c r="AL52" i="70"/>
  <c r="AM52" i="70"/>
  <c r="AN52" i="70"/>
  <c r="AO52" i="70"/>
  <c r="AP52" i="70"/>
  <c r="AQ52" i="70"/>
  <c r="AR52" i="70"/>
  <c r="AS52" i="70"/>
  <c r="AT52" i="70"/>
  <c r="AU52" i="70"/>
  <c r="AV52" i="70"/>
  <c r="AW52" i="70"/>
  <c r="AX52" i="70"/>
  <c r="AY52" i="70"/>
  <c r="AZ52" i="70"/>
  <c r="BA52" i="70"/>
  <c r="BB52" i="70"/>
  <c r="BC52" i="70"/>
  <c r="BD52" i="70"/>
  <c r="BE52" i="70"/>
  <c r="BF52" i="70"/>
  <c r="BG52" i="70"/>
  <c r="BH52" i="70"/>
  <c r="BI52" i="70"/>
  <c r="BJ52" i="70"/>
  <c r="BK52" i="70"/>
  <c r="BL52" i="70"/>
  <c r="BM52" i="70"/>
  <c r="BN52" i="70"/>
  <c r="BO52" i="70"/>
  <c r="BP52" i="70"/>
  <c r="BQ52" i="70"/>
  <c r="BR52" i="70"/>
  <c r="BS52" i="70"/>
  <c r="BT52" i="70"/>
  <c r="BU52" i="70"/>
  <c r="BV52" i="70"/>
  <c r="BW52" i="70"/>
  <c r="BX52" i="70"/>
  <c r="BY52" i="70"/>
  <c r="BZ52" i="70"/>
  <c r="CA52" i="70"/>
  <c r="CB52" i="70"/>
  <c r="CC52" i="70"/>
  <c r="CD52" i="70"/>
  <c r="CE52" i="70"/>
  <c r="CF52" i="70"/>
  <c r="CG52" i="70"/>
  <c r="CH52" i="70"/>
  <c r="CI52" i="70"/>
  <c r="CJ52" i="70"/>
  <c r="CK52" i="70"/>
  <c r="CL52" i="70"/>
  <c r="CM52" i="70"/>
  <c r="CN52" i="70"/>
  <c r="CO52" i="70"/>
  <c r="CP52" i="70"/>
  <c r="CQ52" i="70"/>
  <c r="CR52" i="70"/>
  <c r="CS52" i="70"/>
  <c r="CT52" i="70"/>
  <c r="CU52" i="70"/>
  <c r="CV52" i="70"/>
  <c r="CW52" i="70"/>
  <c r="CX52" i="70"/>
  <c r="CY52" i="70"/>
  <c r="CZ52" i="70"/>
  <c r="DA52" i="70"/>
  <c r="DB52" i="70"/>
  <c r="DC52" i="70"/>
  <c r="DD52" i="70"/>
  <c r="DE52" i="70"/>
  <c r="DF52" i="70"/>
  <c r="DG52" i="70"/>
  <c r="DH52" i="70"/>
  <c r="DI52" i="70"/>
  <c r="DJ52" i="70"/>
  <c r="DK52" i="70"/>
  <c r="DL52" i="70"/>
  <c r="DM52" i="70"/>
  <c r="DN52" i="70"/>
  <c r="DO52" i="70"/>
  <c r="DP52" i="70"/>
  <c r="DQ52" i="70"/>
  <c r="DR52" i="70"/>
  <c r="DS52" i="70"/>
  <c r="DT52" i="70"/>
  <c r="DU52" i="70"/>
  <c r="DV52" i="70"/>
  <c r="DW52" i="70"/>
  <c r="DX52" i="70"/>
  <c r="DY52" i="70"/>
  <c r="DZ52" i="70"/>
  <c r="EA52" i="70"/>
  <c r="EB52" i="70"/>
  <c r="EC52" i="70"/>
  <c r="ED52" i="70"/>
  <c r="EE52" i="70"/>
  <c r="EF52" i="70"/>
  <c r="EG52" i="70"/>
  <c r="EH52" i="70"/>
  <c r="EI52" i="70"/>
  <c r="EJ52" i="70"/>
  <c r="EK52" i="70"/>
  <c r="EL52" i="70"/>
  <c r="EM52" i="70"/>
  <c r="EN52" i="70"/>
  <c r="EO52" i="70"/>
  <c r="EP52" i="70"/>
  <c r="EQ52" i="70"/>
  <c r="ER52" i="70"/>
  <c r="ES52" i="70"/>
  <c r="ET52" i="70"/>
  <c r="EU52" i="70"/>
  <c r="EV52" i="70"/>
  <c r="EW52" i="70"/>
  <c r="EX52" i="70"/>
  <c r="EY52" i="70"/>
  <c r="EZ52" i="70"/>
  <c r="FA52" i="70"/>
  <c r="FB52" i="70"/>
  <c r="FC52" i="70"/>
  <c r="FD52" i="70"/>
  <c r="FE52" i="70"/>
  <c r="FF52" i="70"/>
  <c r="FG52" i="70"/>
  <c r="FH52" i="70"/>
  <c r="FI52" i="70"/>
  <c r="FJ52" i="70"/>
  <c r="FK52" i="70"/>
  <c r="FL52" i="70"/>
  <c r="FM52" i="70"/>
  <c r="FN52" i="70"/>
  <c r="FO52" i="70"/>
  <c r="FP52" i="70"/>
  <c r="FQ52" i="70"/>
  <c r="FR52" i="70"/>
  <c r="FS52" i="70"/>
  <c r="FT52" i="70"/>
  <c r="FU52" i="70"/>
  <c r="FV52" i="70"/>
  <c r="FW52" i="70"/>
  <c r="FX52" i="70"/>
  <c r="FY52" i="70"/>
  <c r="FZ52" i="70"/>
  <c r="GA52" i="70"/>
  <c r="GB52" i="70"/>
  <c r="GC52" i="70"/>
  <c r="U53" i="70"/>
  <c r="V53" i="70"/>
  <c r="X53" i="70"/>
  <c r="Y53" i="70"/>
  <c r="Z53" i="70"/>
  <c r="AA53" i="70"/>
  <c r="AI53" i="70"/>
  <c r="AJ53" i="70"/>
  <c r="AK53" i="70"/>
  <c r="AL53" i="70"/>
  <c r="AM53" i="70"/>
  <c r="AN53" i="70"/>
  <c r="AO53" i="70"/>
  <c r="AP53" i="70"/>
  <c r="AQ53" i="70"/>
  <c r="AR53" i="70"/>
  <c r="AS53" i="70"/>
  <c r="AT53" i="70"/>
  <c r="AU53" i="70"/>
  <c r="AV53" i="70"/>
  <c r="AW53" i="70"/>
  <c r="AX53" i="70"/>
  <c r="AY53" i="70"/>
  <c r="AZ53" i="70"/>
  <c r="BA53" i="70"/>
  <c r="BB53" i="70"/>
  <c r="BC53" i="70"/>
  <c r="BD53" i="70"/>
  <c r="BE53" i="70"/>
  <c r="BF53" i="70"/>
  <c r="BG53" i="70"/>
  <c r="BH53" i="70"/>
  <c r="BI53" i="70"/>
  <c r="BJ53" i="70"/>
  <c r="BK53" i="70"/>
  <c r="BL53" i="70"/>
  <c r="BM53" i="70"/>
  <c r="BN53" i="70"/>
  <c r="BO53" i="70"/>
  <c r="BP53" i="70"/>
  <c r="BQ53" i="70"/>
  <c r="BR53" i="70"/>
  <c r="BS53" i="70"/>
  <c r="BT53" i="70"/>
  <c r="BU53" i="70"/>
  <c r="BV53" i="70"/>
  <c r="BW53" i="70"/>
  <c r="BX53" i="70"/>
  <c r="BY53" i="70"/>
  <c r="BZ53" i="70"/>
  <c r="CA53" i="70"/>
  <c r="CB53" i="70"/>
  <c r="CC53" i="70"/>
  <c r="CD53" i="70"/>
  <c r="CE53" i="70"/>
  <c r="CF53" i="70"/>
  <c r="CG53" i="70"/>
  <c r="CH53" i="70"/>
  <c r="CI53" i="70"/>
  <c r="CJ53" i="70"/>
  <c r="CK53" i="70"/>
  <c r="CL53" i="70"/>
  <c r="CM53" i="70"/>
  <c r="CN53" i="70"/>
  <c r="CO53" i="70"/>
  <c r="CP53" i="70"/>
  <c r="CQ53" i="70"/>
  <c r="CR53" i="70"/>
  <c r="CS53" i="70"/>
  <c r="CT53" i="70"/>
  <c r="CU53" i="70"/>
  <c r="CV53" i="70"/>
  <c r="CW53" i="70"/>
  <c r="CX53" i="70"/>
  <c r="CY53" i="70"/>
  <c r="CZ53" i="70"/>
  <c r="DA53" i="70"/>
  <c r="DB53" i="70"/>
  <c r="DC53" i="70"/>
  <c r="DD53" i="70"/>
  <c r="DE53" i="70"/>
  <c r="DF53" i="70"/>
  <c r="DG53" i="70"/>
  <c r="DH53" i="70"/>
  <c r="DI53" i="70"/>
  <c r="DJ53" i="70"/>
  <c r="DK53" i="70"/>
  <c r="DL53" i="70"/>
  <c r="DM53" i="70"/>
  <c r="DN53" i="70"/>
  <c r="DO53" i="70"/>
  <c r="DP53" i="70"/>
  <c r="DQ53" i="70"/>
  <c r="DR53" i="70"/>
  <c r="DS53" i="70"/>
  <c r="DT53" i="70"/>
  <c r="DU53" i="70"/>
  <c r="DV53" i="70"/>
  <c r="DW53" i="70"/>
  <c r="DX53" i="70"/>
  <c r="DY53" i="70"/>
  <c r="DZ53" i="70"/>
  <c r="EA53" i="70"/>
  <c r="EB53" i="70"/>
  <c r="EC53" i="70"/>
  <c r="ED53" i="70"/>
  <c r="EE53" i="70"/>
  <c r="EF53" i="70"/>
  <c r="EG53" i="70"/>
  <c r="EH53" i="70"/>
  <c r="EI53" i="70"/>
  <c r="EJ53" i="70"/>
  <c r="EK53" i="70"/>
  <c r="EL53" i="70"/>
  <c r="EM53" i="70"/>
  <c r="EN53" i="70"/>
  <c r="EO53" i="70"/>
  <c r="EP53" i="70"/>
  <c r="EQ53" i="70"/>
  <c r="ER53" i="70"/>
  <c r="ES53" i="70"/>
  <c r="ET53" i="70"/>
  <c r="EU53" i="70"/>
  <c r="EV53" i="70"/>
  <c r="EW53" i="70"/>
  <c r="EX53" i="70"/>
  <c r="EY53" i="70"/>
  <c r="EZ53" i="70"/>
  <c r="FA53" i="70"/>
  <c r="FB53" i="70"/>
  <c r="FC53" i="70"/>
  <c r="FD53" i="70"/>
  <c r="FE53" i="70"/>
  <c r="FF53" i="70"/>
  <c r="FG53" i="70"/>
  <c r="FH53" i="70"/>
  <c r="FI53" i="70"/>
  <c r="FJ53" i="70"/>
  <c r="FK53" i="70"/>
  <c r="FL53" i="70"/>
  <c r="FM53" i="70"/>
  <c r="FN53" i="70"/>
  <c r="FO53" i="70"/>
  <c r="FP53" i="70"/>
  <c r="FQ53" i="70"/>
  <c r="FR53" i="70"/>
  <c r="FS53" i="70"/>
  <c r="FT53" i="70"/>
  <c r="FU53" i="70"/>
  <c r="FV53" i="70"/>
  <c r="FW53" i="70"/>
  <c r="FX53" i="70"/>
  <c r="FY53" i="70"/>
  <c r="FZ53" i="70"/>
  <c r="GA53" i="70"/>
  <c r="GB53" i="70"/>
  <c r="GC53" i="70"/>
  <c r="U54" i="70"/>
  <c r="V54" i="70"/>
  <c r="X54" i="70"/>
  <c r="Y54" i="70"/>
  <c r="Z54" i="70"/>
  <c r="AA54" i="70"/>
  <c r="AI54" i="70"/>
  <c r="AJ54" i="70"/>
  <c r="AK54" i="70"/>
  <c r="AL54" i="70"/>
  <c r="AM54" i="70"/>
  <c r="AN54" i="70"/>
  <c r="AO54" i="70"/>
  <c r="AP54" i="70"/>
  <c r="AQ54" i="70"/>
  <c r="AR54" i="70"/>
  <c r="AS54" i="70"/>
  <c r="AT54" i="70"/>
  <c r="AU54" i="70"/>
  <c r="AV54" i="70"/>
  <c r="AW54" i="70"/>
  <c r="AX54" i="70"/>
  <c r="AY54" i="70"/>
  <c r="AZ54" i="70"/>
  <c r="BA54" i="70"/>
  <c r="BB54" i="70"/>
  <c r="BC54" i="70"/>
  <c r="BD54" i="70"/>
  <c r="BE54" i="70"/>
  <c r="BF54" i="70"/>
  <c r="BG54" i="70"/>
  <c r="BH54" i="70"/>
  <c r="BI54" i="70"/>
  <c r="BJ54" i="70"/>
  <c r="BK54" i="70"/>
  <c r="BL54" i="70"/>
  <c r="BM54" i="70"/>
  <c r="BN54" i="70"/>
  <c r="BO54" i="70"/>
  <c r="BP54" i="70"/>
  <c r="BQ54" i="70"/>
  <c r="BR54" i="70"/>
  <c r="BS54" i="70"/>
  <c r="BT54" i="70"/>
  <c r="BU54" i="70"/>
  <c r="BV54" i="70"/>
  <c r="BW54" i="70"/>
  <c r="BX54" i="70"/>
  <c r="BY54" i="70"/>
  <c r="BZ54" i="70"/>
  <c r="CA54" i="70"/>
  <c r="CB54" i="70"/>
  <c r="CC54" i="70"/>
  <c r="CD54" i="70"/>
  <c r="CE54" i="70"/>
  <c r="CF54" i="70"/>
  <c r="CG54" i="70"/>
  <c r="CH54" i="70"/>
  <c r="CI54" i="70"/>
  <c r="CJ54" i="70"/>
  <c r="CK54" i="70"/>
  <c r="CL54" i="70"/>
  <c r="CM54" i="70"/>
  <c r="CN54" i="70"/>
  <c r="CO54" i="70"/>
  <c r="CP54" i="70"/>
  <c r="CQ54" i="70"/>
  <c r="CR54" i="70"/>
  <c r="CS54" i="70"/>
  <c r="CT54" i="70"/>
  <c r="CU54" i="70"/>
  <c r="CV54" i="70"/>
  <c r="CW54" i="70"/>
  <c r="CX54" i="70"/>
  <c r="CY54" i="70"/>
  <c r="CZ54" i="70"/>
  <c r="DA54" i="70"/>
  <c r="DB54" i="70"/>
  <c r="DC54" i="70"/>
  <c r="DD54" i="70"/>
  <c r="DE54" i="70"/>
  <c r="DF54" i="70"/>
  <c r="DG54" i="70"/>
  <c r="DH54" i="70"/>
  <c r="DI54" i="70"/>
  <c r="DJ54" i="70"/>
  <c r="DK54" i="70"/>
  <c r="DL54" i="70"/>
  <c r="DM54" i="70"/>
  <c r="DN54" i="70"/>
  <c r="DO54" i="70"/>
  <c r="DP54" i="70"/>
  <c r="DQ54" i="70"/>
  <c r="DR54" i="70"/>
  <c r="DS54" i="70"/>
  <c r="DT54" i="70"/>
  <c r="DU54" i="70"/>
  <c r="DV54" i="70"/>
  <c r="DW54" i="70"/>
  <c r="DX54" i="70"/>
  <c r="DY54" i="70"/>
  <c r="DZ54" i="70"/>
  <c r="EA54" i="70"/>
  <c r="EB54" i="70"/>
  <c r="EC54" i="70"/>
  <c r="ED54" i="70"/>
  <c r="EE54" i="70"/>
  <c r="EF54" i="70"/>
  <c r="EG54" i="70"/>
  <c r="EH54" i="70"/>
  <c r="EI54" i="70"/>
  <c r="EJ54" i="70"/>
  <c r="EK54" i="70"/>
  <c r="EL54" i="70"/>
  <c r="EM54" i="70"/>
  <c r="EN54" i="70"/>
  <c r="EO54" i="70"/>
  <c r="EP54" i="70"/>
  <c r="EQ54" i="70"/>
  <c r="ER54" i="70"/>
  <c r="ES54" i="70"/>
  <c r="ET54" i="70"/>
  <c r="EU54" i="70"/>
  <c r="EV54" i="70"/>
  <c r="EW54" i="70"/>
  <c r="EX54" i="70"/>
  <c r="EY54" i="70"/>
  <c r="EZ54" i="70"/>
  <c r="FA54" i="70"/>
  <c r="FB54" i="70"/>
  <c r="FC54" i="70"/>
  <c r="FD54" i="70"/>
  <c r="FE54" i="70"/>
  <c r="FF54" i="70"/>
  <c r="FG54" i="70"/>
  <c r="FH54" i="70"/>
  <c r="FI54" i="70"/>
  <c r="FJ54" i="70"/>
  <c r="FK54" i="70"/>
  <c r="FL54" i="70"/>
  <c r="FM54" i="70"/>
  <c r="FN54" i="70"/>
  <c r="FO54" i="70"/>
  <c r="FP54" i="70"/>
  <c r="FQ54" i="70"/>
  <c r="FR54" i="70"/>
  <c r="FS54" i="70"/>
  <c r="FT54" i="70"/>
  <c r="FU54" i="70"/>
  <c r="FV54" i="70"/>
  <c r="FW54" i="70"/>
  <c r="FX54" i="70"/>
  <c r="FY54" i="70"/>
  <c r="FZ54" i="70"/>
  <c r="GA54" i="70"/>
  <c r="GB54" i="70"/>
  <c r="GC54" i="70"/>
  <c r="U55" i="70"/>
  <c r="V55" i="70"/>
  <c r="X55" i="70"/>
  <c r="Y55" i="70"/>
  <c r="Z55" i="70"/>
  <c r="AA55" i="70"/>
  <c r="AI55" i="70"/>
  <c r="AJ55" i="70"/>
  <c r="AK55" i="70"/>
  <c r="AL55" i="70"/>
  <c r="AM55" i="70"/>
  <c r="AN55" i="70"/>
  <c r="AO55" i="70"/>
  <c r="AP55" i="70"/>
  <c r="AQ55" i="70"/>
  <c r="AR55" i="70"/>
  <c r="AS55" i="70"/>
  <c r="AT55" i="70"/>
  <c r="AU55" i="70"/>
  <c r="AV55" i="70"/>
  <c r="AW55" i="70"/>
  <c r="AX55" i="70"/>
  <c r="AY55" i="70"/>
  <c r="AZ55" i="70"/>
  <c r="BA55" i="70"/>
  <c r="BB55" i="70"/>
  <c r="BC55" i="70"/>
  <c r="BD55" i="70"/>
  <c r="BE55" i="70"/>
  <c r="BF55" i="70"/>
  <c r="BG55" i="70"/>
  <c r="BH55" i="70"/>
  <c r="BI55" i="70"/>
  <c r="BJ55" i="70"/>
  <c r="BK55" i="70"/>
  <c r="BL55" i="70"/>
  <c r="BM55" i="70"/>
  <c r="BN55" i="70"/>
  <c r="BO55" i="70"/>
  <c r="BP55" i="70"/>
  <c r="BQ55" i="70"/>
  <c r="BR55" i="70"/>
  <c r="BS55" i="70"/>
  <c r="BT55" i="70"/>
  <c r="BU55" i="70"/>
  <c r="BV55" i="70"/>
  <c r="BW55" i="70"/>
  <c r="BX55" i="70"/>
  <c r="BY55" i="70"/>
  <c r="BZ55" i="70"/>
  <c r="CA55" i="70"/>
  <c r="CB55" i="70"/>
  <c r="CC55" i="70"/>
  <c r="CD55" i="70"/>
  <c r="CE55" i="70"/>
  <c r="CF55" i="70"/>
  <c r="CG55" i="70"/>
  <c r="CH55" i="70"/>
  <c r="CI55" i="70"/>
  <c r="CJ55" i="70"/>
  <c r="CK55" i="70"/>
  <c r="CL55" i="70"/>
  <c r="CM55" i="70"/>
  <c r="CN55" i="70"/>
  <c r="CO55" i="70"/>
  <c r="CP55" i="70"/>
  <c r="CQ55" i="70"/>
  <c r="CR55" i="70"/>
  <c r="CS55" i="70"/>
  <c r="CT55" i="70"/>
  <c r="CU55" i="70"/>
  <c r="CV55" i="70"/>
  <c r="CW55" i="70"/>
  <c r="CX55" i="70"/>
  <c r="CY55" i="70"/>
  <c r="CZ55" i="70"/>
  <c r="DA55" i="70"/>
  <c r="DB55" i="70"/>
  <c r="DC55" i="70"/>
  <c r="DD55" i="70"/>
  <c r="DE55" i="70"/>
  <c r="DF55" i="70"/>
  <c r="DG55" i="70"/>
  <c r="DH55" i="70"/>
  <c r="DI55" i="70"/>
  <c r="DJ55" i="70"/>
  <c r="DK55" i="70"/>
  <c r="DL55" i="70"/>
  <c r="DM55" i="70"/>
  <c r="DN55" i="70"/>
  <c r="DO55" i="70"/>
  <c r="DP55" i="70"/>
  <c r="DQ55" i="70"/>
  <c r="DR55" i="70"/>
  <c r="DS55" i="70"/>
  <c r="DT55" i="70"/>
  <c r="DU55" i="70"/>
  <c r="DV55" i="70"/>
  <c r="DW55" i="70"/>
  <c r="DX55" i="70"/>
  <c r="DY55" i="70"/>
  <c r="DZ55" i="70"/>
  <c r="EA55" i="70"/>
  <c r="EB55" i="70"/>
  <c r="EC55" i="70"/>
  <c r="ED55" i="70"/>
  <c r="EE55" i="70"/>
  <c r="EF55" i="70"/>
  <c r="EG55" i="70"/>
  <c r="EH55" i="70"/>
  <c r="EI55" i="70"/>
  <c r="EJ55" i="70"/>
  <c r="EK55" i="70"/>
  <c r="EL55" i="70"/>
  <c r="EM55" i="70"/>
  <c r="EN55" i="70"/>
  <c r="EO55" i="70"/>
  <c r="EP55" i="70"/>
  <c r="EQ55" i="70"/>
  <c r="ER55" i="70"/>
  <c r="ES55" i="70"/>
  <c r="ET55" i="70"/>
  <c r="EU55" i="70"/>
  <c r="EV55" i="70"/>
  <c r="EW55" i="70"/>
  <c r="EX55" i="70"/>
  <c r="EY55" i="70"/>
  <c r="EZ55" i="70"/>
  <c r="FA55" i="70"/>
  <c r="FB55" i="70"/>
  <c r="FC55" i="70"/>
  <c r="FD55" i="70"/>
  <c r="FE55" i="70"/>
  <c r="FF55" i="70"/>
  <c r="FG55" i="70"/>
  <c r="FH55" i="70"/>
  <c r="FI55" i="70"/>
  <c r="FJ55" i="70"/>
  <c r="FK55" i="70"/>
  <c r="FL55" i="70"/>
  <c r="FM55" i="70"/>
  <c r="FN55" i="70"/>
  <c r="FO55" i="70"/>
  <c r="FP55" i="70"/>
  <c r="FQ55" i="70"/>
  <c r="FR55" i="70"/>
  <c r="FS55" i="70"/>
  <c r="FT55" i="70"/>
  <c r="FU55" i="70"/>
  <c r="FV55" i="70"/>
  <c r="FW55" i="70"/>
  <c r="FX55" i="70"/>
  <c r="FY55" i="70"/>
  <c r="FZ55" i="70"/>
  <c r="GA55" i="70"/>
  <c r="GB55" i="70"/>
  <c r="GC55" i="70"/>
  <c r="U56" i="70"/>
  <c r="V56" i="70"/>
  <c r="X56" i="70"/>
  <c r="Y56" i="70"/>
  <c r="Z56" i="70"/>
  <c r="AA56" i="70"/>
  <c r="AI56" i="70"/>
  <c r="AJ56" i="70"/>
  <c r="AK56" i="70"/>
  <c r="AL56" i="70"/>
  <c r="AM56" i="70"/>
  <c r="AN56" i="70"/>
  <c r="AO56" i="70"/>
  <c r="AP56" i="70"/>
  <c r="AQ56" i="70"/>
  <c r="AR56" i="70"/>
  <c r="AS56" i="70"/>
  <c r="AT56" i="70"/>
  <c r="AU56" i="70"/>
  <c r="AV56" i="70"/>
  <c r="AW56" i="70"/>
  <c r="AX56" i="70"/>
  <c r="AY56" i="70"/>
  <c r="AZ56" i="70"/>
  <c r="BA56" i="70"/>
  <c r="BB56" i="70"/>
  <c r="BC56" i="70"/>
  <c r="BD56" i="70"/>
  <c r="BE56" i="70"/>
  <c r="BF56" i="70"/>
  <c r="BG56" i="70"/>
  <c r="BH56" i="70"/>
  <c r="BI56" i="70"/>
  <c r="BJ56" i="70"/>
  <c r="BK56" i="70"/>
  <c r="BL56" i="70"/>
  <c r="BM56" i="70"/>
  <c r="BN56" i="70"/>
  <c r="BO56" i="70"/>
  <c r="BP56" i="70"/>
  <c r="BQ56" i="70"/>
  <c r="BR56" i="70"/>
  <c r="BS56" i="70"/>
  <c r="BT56" i="70"/>
  <c r="BU56" i="70"/>
  <c r="BV56" i="70"/>
  <c r="BW56" i="70"/>
  <c r="BX56" i="70"/>
  <c r="BY56" i="70"/>
  <c r="BZ56" i="70"/>
  <c r="CA56" i="70"/>
  <c r="CB56" i="70"/>
  <c r="CC56" i="70"/>
  <c r="CD56" i="70"/>
  <c r="CE56" i="70"/>
  <c r="CF56" i="70"/>
  <c r="CG56" i="70"/>
  <c r="CH56" i="70"/>
  <c r="CI56" i="70"/>
  <c r="CJ56" i="70"/>
  <c r="CK56" i="70"/>
  <c r="CL56" i="70"/>
  <c r="CM56" i="70"/>
  <c r="CN56" i="70"/>
  <c r="CO56" i="70"/>
  <c r="CP56" i="70"/>
  <c r="CQ56" i="70"/>
  <c r="CR56" i="70"/>
  <c r="CS56" i="70"/>
  <c r="CT56" i="70"/>
  <c r="CU56" i="70"/>
  <c r="CV56" i="70"/>
  <c r="CW56" i="70"/>
  <c r="CX56" i="70"/>
  <c r="CY56" i="70"/>
  <c r="CZ56" i="70"/>
  <c r="DA56" i="70"/>
  <c r="DB56" i="70"/>
  <c r="DC56" i="70"/>
  <c r="DD56" i="70"/>
  <c r="DE56" i="70"/>
  <c r="DF56" i="70"/>
  <c r="DG56" i="70"/>
  <c r="DH56" i="70"/>
  <c r="DI56" i="70"/>
  <c r="DJ56" i="70"/>
  <c r="DK56" i="70"/>
  <c r="DL56" i="70"/>
  <c r="DM56" i="70"/>
  <c r="DN56" i="70"/>
  <c r="DO56" i="70"/>
  <c r="DP56" i="70"/>
  <c r="DQ56" i="70"/>
  <c r="DR56" i="70"/>
  <c r="DS56" i="70"/>
  <c r="DT56" i="70"/>
  <c r="DU56" i="70"/>
  <c r="DV56" i="70"/>
  <c r="DW56" i="70"/>
  <c r="DX56" i="70"/>
  <c r="DY56" i="70"/>
  <c r="DZ56" i="70"/>
  <c r="EA56" i="70"/>
  <c r="EB56" i="70"/>
  <c r="EC56" i="70"/>
  <c r="ED56" i="70"/>
  <c r="EE56" i="70"/>
  <c r="EF56" i="70"/>
  <c r="EG56" i="70"/>
  <c r="EH56" i="70"/>
  <c r="EI56" i="70"/>
  <c r="EJ56" i="70"/>
  <c r="EK56" i="70"/>
  <c r="EL56" i="70"/>
  <c r="EM56" i="70"/>
  <c r="EN56" i="70"/>
  <c r="EO56" i="70"/>
  <c r="EP56" i="70"/>
  <c r="EQ56" i="70"/>
  <c r="ER56" i="70"/>
  <c r="ES56" i="70"/>
  <c r="ET56" i="70"/>
  <c r="EU56" i="70"/>
  <c r="EV56" i="70"/>
  <c r="EW56" i="70"/>
  <c r="EX56" i="70"/>
  <c r="EY56" i="70"/>
  <c r="EZ56" i="70"/>
  <c r="FA56" i="70"/>
  <c r="FB56" i="70"/>
  <c r="FC56" i="70"/>
  <c r="FD56" i="70"/>
  <c r="FE56" i="70"/>
  <c r="FF56" i="70"/>
  <c r="FG56" i="70"/>
  <c r="FH56" i="70"/>
  <c r="FI56" i="70"/>
  <c r="FJ56" i="70"/>
  <c r="FK56" i="70"/>
  <c r="FL56" i="70"/>
  <c r="FM56" i="70"/>
  <c r="FN56" i="70"/>
  <c r="FO56" i="70"/>
  <c r="FP56" i="70"/>
  <c r="FQ56" i="70"/>
  <c r="FR56" i="70"/>
  <c r="FS56" i="70"/>
  <c r="FT56" i="70"/>
  <c r="FU56" i="70"/>
  <c r="FV56" i="70"/>
  <c r="FW56" i="70"/>
  <c r="FX56" i="70"/>
  <c r="FY56" i="70"/>
  <c r="FZ56" i="70"/>
  <c r="GA56" i="70"/>
  <c r="GB56" i="70"/>
  <c r="GC56" i="70"/>
  <c r="U57" i="70"/>
  <c r="V57" i="70"/>
  <c r="X57" i="70"/>
  <c r="Y57" i="70"/>
  <c r="Z57" i="70"/>
  <c r="AA57" i="70"/>
  <c r="AI57" i="70"/>
  <c r="AJ57" i="70"/>
  <c r="AK57" i="70"/>
  <c r="AL57" i="70"/>
  <c r="AM57" i="70"/>
  <c r="AN57" i="70"/>
  <c r="AO57" i="70"/>
  <c r="AP57" i="70"/>
  <c r="AQ57" i="70"/>
  <c r="AR57" i="70"/>
  <c r="AS57" i="70"/>
  <c r="AT57" i="70"/>
  <c r="AU57" i="70"/>
  <c r="AV57" i="70"/>
  <c r="AW57" i="70"/>
  <c r="AX57" i="70"/>
  <c r="AY57" i="70"/>
  <c r="AZ57" i="70"/>
  <c r="BA57" i="70"/>
  <c r="BB57" i="70"/>
  <c r="BC57" i="70"/>
  <c r="BD57" i="70"/>
  <c r="BE57" i="70"/>
  <c r="BF57" i="70"/>
  <c r="BG57" i="70"/>
  <c r="BH57" i="70"/>
  <c r="BI57" i="70"/>
  <c r="BJ57" i="70"/>
  <c r="BK57" i="70"/>
  <c r="BL57" i="70"/>
  <c r="BM57" i="70"/>
  <c r="BN57" i="70"/>
  <c r="BO57" i="70"/>
  <c r="BP57" i="70"/>
  <c r="BQ57" i="70"/>
  <c r="BR57" i="70"/>
  <c r="BS57" i="70"/>
  <c r="BT57" i="70"/>
  <c r="BU57" i="70"/>
  <c r="BV57" i="70"/>
  <c r="BW57" i="70"/>
  <c r="BX57" i="70"/>
  <c r="BY57" i="70"/>
  <c r="BZ57" i="70"/>
  <c r="CA57" i="70"/>
  <c r="CB57" i="70"/>
  <c r="CC57" i="70"/>
  <c r="CD57" i="70"/>
  <c r="CE57" i="70"/>
  <c r="CF57" i="70"/>
  <c r="CG57" i="70"/>
  <c r="CH57" i="70"/>
  <c r="CI57" i="70"/>
  <c r="CJ57" i="70"/>
  <c r="CK57" i="70"/>
  <c r="CL57" i="70"/>
  <c r="CM57" i="70"/>
  <c r="CN57" i="70"/>
  <c r="CO57" i="70"/>
  <c r="CP57" i="70"/>
  <c r="CQ57" i="70"/>
  <c r="CR57" i="70"/>
  <c r="CS57" i="70"/>
  <c r="CT57" i="70"/>
  <c r="CU57" i="70"/>
  <c r="CV57" i="70"/>
  <c r="CW57" i="70"/>
  <c r="CX57" i="70"/>
  <c r="CY57" i="70"/>
  <c r="CZ57" i="70"/>
  <c r="DA57" i="70"/>
  <c r="DB57" i="70"/>
  <c r="DC57" i="70"/>
  <c r="DD57" i="70"/>
  <c r="DE57" i="70"/>
  <c r="DF57" i="70"/>
  <c r="DG57" i="70"/>
  <c r="DH57" i="70"/>
  <c r="DI57" i="70"/>
  <c r="DJ57" i="70"/>
  <c r="DK57" i="70"/>
  <c r="DL57" i="70"/>
  <c r="DM57" i="70"/>
  <c r="DN57" i="70"/>
  <c r="DO57" i="70"/>
  <c r="DP57" i="70"/>
  <c r="DQ57" i="70"/>
  <c r="DR57" i="70"/>
  <c r="DS57" i="70"/>
  <c r="DT57" i="70"/>
  <c r="DU57" i="70"/>
  <c r="DV57" i="70"/>
  <c r="DW57" i="70"/>
  <c r="DX57" i="70"/>
  <c r="DY57" i="70"/>
  <c r="DZ57" i="70"/>
  <c r="EA57" i="70"/>
  <c r="EB57" i="70"/>
  <c r="EC57" i="70"/>
  <c r="ED57" i="70"/>
  <c r="EE57" i="70"/>
  <c r="EF57" i="70"/>
  <c r="EG57" i="70"/>
  <c r="EH57" i="70"/>
  <c r="EI57" i="70"/>
  <c r="EJ57" i="70"/>
  <c r="EK57" i="70"/>
  <c r="EL57" i="70"/>
  <c r="EM57" i="70"/>
  <c r="EN57" i="70"/>
  <c r="EO57" i="70"/>
  <c r="EP57" i="70"/>
  <c r="EQ57" i="70"/>
  <c r="ER57" i="70"/>
  <c r="ES57" i="70"/>
  <c r="ET57" i="70"/>
  <c r="EU57" i="70"/>
  <c r="EV57" i="70"/>
  <c r="EW57" i="70"/>
  <c r="EX57" i="70"/>
  <c r="EY57" i="70"/>
  <c r="EZ57" i="70"/>
  <c r="FA57" i="70"/>
  <c r="FB57" i="70"/>
  <c r="FC57" i="70"/>
  <c r="FD57" i="70"/>
  <c r="FE57" i="70"/>
  <c r="FF57" i="70"/>
  <c r="FG57" i="70"/>
  <c r="FH57" i="70"/>
  <c r="FI57" i="70"/>
  <c r="FJ57" i="70"/>
  <c r="FK57" i="70"/>
  <c r="FL57" i="70"/>
  <c r="FM57" i="70"/>
  <c r="FN57" i="70"/>
  <c r="FO57" i="70"/>
  <c r="FP57" i="70"/>
  <c r="FQ57" i="70"/>
  <c r="FR57" i="70"/>
  <c r="FS57" i="70"/>
  <c r="FT57" i="70"/>
  <c r="FU57" i="70"/>
  <c r="FV57" i="70"/>
  <c r="FW57" i="70"/>
  <c r="FX57" i="70"/>
  <c r="FY57" i="70"/>
  <c r="FZ57" i="70"/>
  <c r="GA57" i="70"/>
  <c r="GB57" i="70"/>
  <c r="GC57" i="70"/>
  <c r="U58" i="70"/>
  <c r="V58" i="70"/>
  <c r="X58" i="70"/>
  <c r="Y58" i="70"/>
  <c r="Z58" i="70"/>
  <c r="AA58" i="70"/>
  <c r="AI58" i="70"/>
  <c r="AJ58" i="70"/>
  <c r="AK58" i="70"/>
  <c r="AL58" i="70"/>
  <c r="AM58" i="70"/>
  <c r="AN58" i="70"/>
  <c r="AO58" i="70"/>
  <c r="AP58" i="70"/>
  <c r="AQ58" i="70"/>
  <c r="AR58" i="70"/>
  <c r="AS58" i="70"/>
  <c r="AT58" i="70"/>
  <c r="AU58" i="70"/>
  <c r="AV58" i="70"/>
  <c r="AW58" i="70"/>
  <c r="AX58" i="70"/>
  <c r="AY58" i="70"/>
  <c r="AZ58" i="70"/>
  <c r="BA58" i="70"/>
  <c r="BB58" i="70"/>
  <c r="BC58" i="70"/>
  <c r="BD58" i="70"/>
  <c r="BE58" i="70"/>
  <c r="BF58" i="70"/>
  <c r="BG58" i="70"/>
  <c r="BH58" i="70"/>
  <c r="BI58" i="70"/>
  <c r="BJ58" i="70"/>
  <c r="BK58" i="70"/>
  <c r="BL58" i="70"/>
  <c r="BM58" i="70"/>
  <c r="BN58" i="70"/>
  <c r="BO58" i="70"/>
  <c r="BP58" i="70"/>
  <c r="BQ58" i="70"/>
  <c r="BR58" i="70"/>
  <c r="BS58" i="70"/>
  <c r="BT58" i="70"/>
  <c r="BU58" i="70"/>
  <c r="BV58" i="70"/>
  <c r="BW58" i="70"/>
  <c r="BX58" i="70"/>
  <c r="BY58" i="70"/>
  <c r="BZ58" i="70"/>
  <c r="CA58" i="70"/>
  <c r="CB58" i="70"/>
  <c r="CC58" i="70"/>
  <c r="CD58" i="70"/>
  <c r="CE58" i="70"/>
  <c r="CF58" i="70"/>
  <c r="CG58" i="70"/>
  <c r="CH58" i="70"/>
  <c r="CI58" i="70"/>
  <c r="CJ58" i="70"/>
  <c r="CK58" i="70"/>
  <c r="CL58" i="70"/>
  <c r="CM58" i="70"/>
  <c r="CN58" i="70"/>
  <c r="CO58" i="70"/>
  <c r="CP58" i="70"/>
  <c r="CQ58" i="70"/>
  <c r="CR58" i="70"/>
  <c r="CS58" i="70"/>
  <c r="CT58" i="70"/>
  <c r="CU58" i="70"/>
  <c r="CV58" i="70"/>
  <c r="CW58" i="70"/>
  <c r="CX58" i="70"/>
  <c r="CY58" i="70"/>
  <c r="CZ58" i="70"/>
  <c r="DA58" i="70"/>
  <c r="DB58" i="70"/>
  <c r="DC58" i="70"/>
  <c r="DD58" i="70"/>
  <c r="DE58" i="70"/>
  <c r="DF58" i="70"/>
  <c r="DG58" i="70"/>
  <c r="DH58" i="70"/>
  <c r="DI58" i="70"/>
  <c r="DJ58" i="70"/>
  <c r="DK58" i="70"/>
  <c r="DL58" i="70"/>
  <c r="DM58" i="70"/>
  <c r="DN58" i="70"/>
  <c r="DO58" i="70"/>
  <c r="DP58" i="70"/>
  <c r="DQ58" i="70"/>
  <c r="DR58" i="70"/>
  <c r="DS58" i="70"/>
  <c r="DT58" i="70"/>
  <c r="DU58" i="70"/>
  <c r="DV58" i="70"/>
  <c r="DW58" i="70"/>
  <c r="DX58" i="70"/>
  <c r="DY58" i="70"/>
  <c r="DZ58" i="70"/>
  <c r="EA58" i="70"/>
  <c r="EB58" i="70"/>
  <c r="EC58" i="70"/>
  <c r="ED58" i="70"/>
  <c r="EE58" i="70"/>
  <c r="EF58" i="70"/>
  <c r="EG58" i="70"/>
  <c r="EH58" i="70"/>
  <c r="EI58" i="70"/>
  <c r="EJ58" i="70"/>
  <c r="EK58" i="70"/>
  <c r="EL58" i="70"/>
  <c r="EM58" i="70"/>
  <c r="EN58" i="70"/>
  <c r="EO58" i="70"/>
  <c r="EP58" i="70"/>
  <c r="EQ58" i="70"/>
  <c r="ER58" i="70"/>
  <c r="ES58" i="70"/>
  <c r="ET58" i="70"/>
  <c r="EU58" i="70"/>
  <c r="EV58" i="70"/>
  <c r="EW58" i="70"/>
  <c r="EX58" i="70"/>
  <c r="EY58" i="70"/>
  <c r="EZ58" i="70"/>
  <c r="FA58" i="70"/>
  <c r="FB58" i="70"/>
  <c r="FC58" i="70"/>
  <c r="FD58" i="70"/>
  <c r="FE58" i="70"/>
  <c r="FF58" i="70"/>
  <c r="FG58" i="70"/>
  <c r="FH58" i="70"/>
  <c r="FI58" i="70"/>
  <c r="FJ58" i="70"/>
  <c r="FK58" i="70"/>
  <c r="FL58" i="70"/>
  <c r="FM58" i="70"/>
  <c r="FN58" i="70"/>
  <c r="FO58" i="70"/>
  <c r="FP58" i="70"/>
  <c r="FQ58" i="70"/>
  <c r="FR58" i="70"/>
  <c r="FS58" i="70"/>
  <c r="FT58" i="70"/>
  <c r="FU58" i="70"/>
  <c r="FV58" i="70"/>
  <c r="FW58" i="70"/>
  <c r="FX58" i="70"/>
  <c r="FY58" i="70"/>
  <c r="FZ58" i="70"/>
  <c r="GA58" i="70"/>
  <c r="GB58" i="70"/>
  <c r="GC58" i="70"/>
  <c r="U59" i="70"/>
  <c r="V59" i="70"/>
  <c r="X59" i="70"/>
  <c r="Y59" i="70"/>
  <c r="Z59" i="70"/>
  <c r="AA59" i="70"/>
  <c r="AI59" i="70"/>
  <c r="AJ59" i="70"/>
  <c r="AK59" i="70"/>
  <c r="AL59" i="70"/>
  <c r="AM59" i="70"/>
  <c r="AN59" i="70"/>
  <c r="AO59" i="70"/>
  <c r="AP59" i="70"/>
  <c r="AQ59" i="70"/>
  <c r="AR59" i="70"/>
  <c r="AS59" i="70"/>
  <c r="AT59" i="70"/>
  <c r="AU59" i="70"/>
  <c r="AV59" i="70"/>
  <c r="AW59" i="70"/>
  <c r="AX59" i="70"/>
  <c r="AY59" i="70"/>
  <c r="AZ59" i="70"/>
  <c r="BA59" i="70"/>
  <c r="BB59" i="70"/>
  <c r="BC59" i="70"/>
  <c r="BD59" i="70"/>
  <c r="BE59" i="70"/>
  <c r="BF59" i="70"/>
  <c r="BG59" i="70"/>
  <c r="BH59" i="70"/>
  <c r="BI59" i="70"/>
  <c r="BJ59" i="70"/>
  <c r="BK59" i="70"/>
  <c r="BL59" i="70"/>
  <c r="BM59" i="70"/>
  <c r="BN59" i="70"/>
  <c r="BO59" i="70"/>
  <c r="BP59" i="70"/>
  <c r="BQ59" i="70"/>
  <c r="BR59" i="70"/>
  <c r="BS59" i="70"/>
  <c r="BT59" i="70"/>
  <c r="BU59" i="70"/>
  <c r="BV59" i="70"/>
  <c r="BW59" i="70"/>
  <c r="BX59" i="70"/>
  <c r="BY59" i="70"/>
  <c r="BZ59" i="70"/>
  <c r="CA59" i="70"/>
  <c r="CB59" i="70"/>
  <c r="CC59" i="70"/>
  <c r="CD59" i="70"/>
  <c r="CE59" i="70"/>
  <c r="CF59" i="70"/>
  <c r="CG59" i="70"/>
  <c r="CH59" i="70"/>
  <c r="CI59" i="70"/>
  <c r="CJ59" i="70"/>
  <c r="CK59" i="70"/>
  <c r="CL59" i="70"/>
  <c r="CM59" i="70"/>
  <c r="CN59" i="70"/>
  <c r="CO59" i="70"/>
  <c r="CP59" i="70"/>
  <c r="CQ59" i="70"/>
  <c r="CR59" i="70"/>
  <c r="CS59" i="70"/>
  <c r="CT59" i="70"/>
  <c r="CU59" i="70"/>
  <c r="CV59" i="70"/>
  <c r="CW59" i="70"/>
  <c r="CX59" i="70"/>
  <c r="CY59" i="70"/>
  <c r="CZ59" i="70"/>
  <c r="DA59" i="70"/>
  <c r="DB59" i="70"/>
  <c r="DC59" i="70"/>
  <c r="DD59" i="70"/>
  <c r="DE59" i="70"/>
  <c r="DF59" i="70"/>
  <c r="DG59" i="70"/>
  <c r="DH59" i="70"/>
  <c r="DI59" i="70"/>
  <c r="DJ59" i="70"/>
  <c r="DK59" i="70"/>
  <c r="DL59" i="70"/>
  <c r="DM59" i="70"/>
  <c r="DN59" i="70"/>
  <c r="DO59" i="70"/>
  <c r="DP59" i="70"/>
  <c r="DQ59" i="70"/>
  <c r="DR59" i="70"/>
  <c r="DS59" i="70"/>
  <c r="DT59" i="70"/>
  <c r="DU59" i="70"/>
  <c r="DV59" i="70"/>
  <c r="DW59" i="70"/>
  <c r="DX59" i="70"/>
  <c r="DY59" i="70"/>
  <c r="DZ59" i="70"/>
  <c r="EA59" i="70"/>
  <c r="EB59" i="70"/>
  <c r="EC59" i="70"/>
  <c r="ED59" i="70"/>
  <c r="EE59" i="70"/>
  <c r="EF59" i="70"/>
  <c r="EG59" i="70"/>
  <c r="EH59" i="70"/>
  <c r="EI59" i="70"/>
  <c r="EJ59" i="70"/>
  <c r="EK59" i="70"/>
  <c r="EL59" i="70"/>
  <c r="EM59" i="70"/>
  <c r="EN59" i="70"/>
  <c r="EO59" i="70"/>
  <c r="EP59" i="70"/>
  <c r="EQ59" i="70"/>
  <c r="ER59" i="70"/>
  <c r="ES59" i="70"/>
  <c r="ET59" i="70"/>
  <c r="EU59" i="70"/>
  <c r="EV59" i="70"/>
  <c r="EW59" i="70"/>
  <c r="EX59" i="70"/>
  <c r="EY59" i="70"/>
  <c r="EZ59" i="70"/>
  <c r="FA59" i="70"/>
  <c r="FB59" i="70"/>
  <c r="FC59" i="70"/>
  <c r="FD59" i="70"/>
  <c r="FE59" i="70"/>
  <c r="FF59" i="70"/>
  <c r="FG59" i="70"/>
  <c r="FH59" i="70"/>
  <c r="FI59" i="70"/>
  <c r="FJ59" i="70"/>
  <c r="FK59" i="70"/>
  <c r="FL59" i="70"/>
  <c r="FM59" i="70"/>
  <c r="FN59" i="70"/>
  <c r="FO59" i="70"/>
  <c r="FP59" i="70"/>
  <c r="FQ59" i="70"/>
  <c r="FR59" i="70"/>
  <c r="FS59" i="70"/>
  <c r="FT59" i="70"/>
  <c r="FU59" i="70"/>
  <c r="FV59" i="70"/>
  <c r="FW59" i="70"/>
  <c r="FX59" i="70"/>
  <c r="FY59" i="70"/>
  <c r="FZ59" i="70"/>
  <c r="GA59" i="70"/>
  <c r="GB59" i="70"/>
  <c r="GC59" i="70"/>
  <c r="U60" i="70"/>
  <c r="V60" i="70"/>
  <c r="X60" i="70"/>
  <c r="Y60" i="70"/>
  <c r="Z60" i="70"/>
  <c r="AA60" i="70"/>
  <c r="AI60" i="70"/>
  <c r="AJ60" i="70"/>
  <c r="AK60" i="70"/>
  <c r="AL60" i="70"/>
  <c r="AM60" i="70"/>
  <c r="AN60" i="70"/>
  <c r="AO60" i="70"/>
  <c r="AP60" i="70"/>
  <c r="AQ60" i="70"/>
  <c r="AR60" i="70"/>
  <c r="AS60" i="70"/>
  <c r="AT60" i="70"/>
  <c r="AU60" i="70"/>
  <c r="AV60" i="70"/>
  <c r="AW60" i="70"/>
  <c r="AX60" i="70"/>
  <c r="AY60" i="70"/>
  <c r="AZ60" i="70"/>
  <c r="BA60" i="70"/>
  <c r="BB60" i="70"/>
  <c r="BC60" i="70"/>
  <c r="BD60" i="70"/>
  <c r="BE60" i="70"/>
  <c r="BF60" i="70"/>
  <c r="BG60" i="70"/>
  <c r="BH60" i="70"/>
  <c r="BI60" i="70"/>
  <c r="BJ60" i="70"/>
  <c r="BK60" i="70"/>
  <c r="BL60" i="70"/>
  <c r="BM60" i="70"/>
  <c r="BN60" i="70"/>
  <c r="BO60" i="70"/>
  <c r="BP60" i="70"/>
  <c r="BQ60" i="70"/>
  <c r="BR60" i="70"/>
  <c r="BS60" i="70"/>
  <c r="BT60" i="70"/>
  <c r="BU60" i="70"/>
  <c r="BV60" i="70"/>
  <c r="BW60" i="70"/>
  <c r="BX60" i="70"/>
  <c r="BY60" i="70"/>
  <c r="BZ60" i="70"/>
  <c r="CA60" i="70"/>
  <c r="CB60" i="70"/>
  <c r="CC60" i="70"/>
  <c r="CD60" i="70"/>
  <c r="CE60" i="70"/>
  <c r="CF60" i="70"/>
  <c r="CG60" i="70"/>
  <c r="CH60" i="70"/>
  <c r="CI60" i="70"/>
  <c r="CJ60" i="70"/>
  <c r="CK60" i="70"/>
  <c r="CL60" i="70"/>
  <c r="CM60" i="70"/>
  <c r="CN60" i="70"/>
  <c r="CO60" i="70"/>
  <c r="CP60" i="70"/>
  <c r="CQ60" i="70"/>
  <c r="CR60" i="70"/>
  <c r="CS60" i="70"/>
  <c r="CT60" i="70"/>
  <c r="CU60" i="70"/>
  <c r="CV60" i="70"/>
  <c r="CW60" i="70"/>
  <c r="CX60" i="70"/>
  <c r="CY60" i="70"/>
  <c r="CZ60" i="70"/>
  <c r="DA60" i="70"/>
  <c r="DB60" i="70"/>
  <c r="DC60" i="70"/>
  <c r="DD60" i="70"/>
  <c r="DE60" i="70"/>
  <c r="DF60" i="70"/>
  <c r="DG60" i="70"/>
  <c r="DH60" i="70"/>
  <c r="DI60" i="70"/>
  <c r="DJ60" i="70"/>
  <c r="DK60" i="70"/>
  <c r="DL60" i="70"/>
  <c r="DM60" i="70"/>
  <c r="DN60" i="70"/>
  <c r="DO60" i="70"/>
  <c r="DP60" i="70"/>
  <c r="DQ60" i="70"/>
  <c r="DR60" i="70"/>
  <c r="DS60" i="70"/>
  <c r="DT60" i="70"/>
  <c r="DU60" i="70"/>
  <c r="DV60" i="70"/>
  <c r="DW60" i="70"/>
  <c r="DX60" i="70"/>
  <c r="DY60" i="70"/>
  <c r="DZ60" i="70"/>
  <c r="EA60" i="70"/>
  <c r="EB60" i="70"/>
  <c r="EC60" i="70"/>
  <c r="ED60" i="70"/>
  <c r="EE60" i="70"/>
  <c r="EF60" i="70"/>
  <c r="EG60" i="70"/>
  <c r="EH60" i="70"/>
  <c r="EI60" i="70"/>
  <c r="EJ60" i="70"/>
  <c r="EK60" i="70"/>
  <c r="EL60" i="70"/>
  <c r="EM60" i="70"/>
  <c r="EN60" i="70"/>
  <c r="EO60" i="70"/>
  <c r="EP60" i="70"/>
  <c r="EQ60" i="70"/>
  <c r="ER60" i="70"/>
  <c r="ES60" i="70"/>
  <c r="ET60" i="70"/>
  <c r="EU60" i="70"/>
  <c r="EV60" i="70"/>
  <c r="EW60" i="70"/>
  <c r="EX60" i="70"/>
  <c r="EY60" i="70"/>
  <c r="EZ60" i="70"/>
  <c r="FA60" i="70"/>
  <c r="FB60" i="70"/>
  <c r="FC60" i="70"/>
  <c r="FD60" i="70"/>
  <c r="FE60" i="70"/>
  <c r="FF60" i="70"/>
  <c r="FG60" i="70"/>
  <c r="FH60" i="70"/>
  <c r="FI60" i="70"/>
  <c r="FJ60" i="70"/>
  <c r="FK60" i="70"/>
  <c r="FL60" i="70"/>
  <c r="FM60" i="70"/>
  <c r="FN60" i="70"/>
  <c r="FO60" i="70"/>
  <c r="FP60" i="70"/>
  <c r="FQ60" i="70"/>
  <c r="FR60" i="70"/>
  <c r="FS60" i="70"/>
  <c r="FT60" i="70"/>
  <c r="FU60" i="70"/>
  <c r="FV60" i="70"/>
  <c r="FW60" i="70"/>
  <c r="FX60" i="70"/>
  <c r="FY60" i="70"/>
  <c r="FZ60" i="70"/>
  <c r="GA60" i="70"/>
  <c r="GB60" i="70"/>
  <c r="GC60" i="70"/>
  <c r="U61" i="70"/>
  <c r="V61" i="70"/>
  <c r="X61" i="70"/>
  <c r="Y61" i="70"/>
  <c r="Z61" i="70"/>
  <c r="AA61" i="70"/>
  <c r="AI61" i="70"/>
  <c r="AJ61" i="70"/>
  <c r="AK61" i="70"/>
  <c r="AL61" i="70"/>
  <c r="AM61" i="70"/>
  <c r="AN61" i="70"/>
  <c r="AO61" i="70"/>
  <c r="AP61" i="70"/>
  <c r="AQ61" i="70"/>
  <c r="AR61" i="70"/>
  <c r="AS61" i="70"/>
  <c r="AT61" i="70"/>
  <c r="AU61" i="70"/>
  <c r="AV61" i="70"/>
  <c r="AW61" i="70"/>
  <c r="AX61" i="70"/>
  <c r="AY61" i="70"/>
  <c r="AZ61" i="70"/>
  <c r="BA61" i="70"/>
  <c r="BB61" i="70"/>
  <c r="BC61" i="70"/>
  <c r="BD61" i="70"/>
  <c r="BE61" i="70"/>
  <c r="BF61" i="70"/>
  <c r="BG61" i="70"/>
  <c r="BH61" i="70"/>
  <c r="BI61" i="70"/>
  <c r="BJ61" i="70"/>
  <c r="BK61" i="70"/>
  <c r="BL61" i="70"/>
  <c r="BM61" i="70"/>
  <c r="BN61" i="70"/>
  <c r="BO61" i="70"/>
  <c r="BP61" i="70"/>
  <c r="BQ61" i="70"/>
  <c r="BR61" i="70"/>
  <c r="BS61" i="70"/>
  <c r="BT61" i="70"/>
  <c r="BU61" i="70"/>
  <c r="BV61" i="70"/>
  <c r="BW61" i="70"/>
  <c r="BX61" i="70"/>
  <c r="BY61" i="70"/>
  <c r="BZ61" i="70"/>
  <c r="CA61" i="70"/>
  <c r="CB61" i="70"/>
  <c r="CC61" i="70"/>
  <c r="CD61" i="70"/>
  <c r="CE61" i="70"/>
  <c r="CF61" i="70"/>
  <c r="CG61" i="70"/>
  <c r="CH61" i="70"/>
  <c r="CI61" i="70"/>
  <c r="CJ61" i="70"/>
  <c r="CK61" i="70"/>
  <c r="CL61" i="70"/>
  <c r="CM61" i="70"/>
  <c r="CN61" i="70"/>
  <c r="CO61" i="70"/>
  <c r="CP61" i="70"/>
  <c r="CQ61" i="70"/>
  <c r="CR61" i="70"/>
  <c r="CS61" i="70"/>
  <c r="CT61" i="70"/>
  <c r="CU61" i="70"/>
  <c r="CV61" i="70"/>
  <c r="CW61" i="70"/>
  <c r="CX61" i="70"/>
  <c r="CY61" i="70"/>
  <c r="CZ61" i="70"/>
  <c r="DA61" i="70"/>
  <c r="DB61" i="70"/>
  <c r="DC61" i="70"/>
  <c r="DD61" i="70"/>
  <c r="DE61" i="70"/>
  <c r="DF61" i="70"/>
  <c r="DG61" i="70"/>
  <c r="DH61" i="70"/>
  <c r="DI61" i="70"/>
  <c r="DJ61" i="70"/>
  <c r="DK61" i="70"/>
  <c r="DL61" i="70"/>
  <c r="DM61" i="70"/>
  <c r="DN61" i="70"/>
  <c r="DO61" i="70"/>
  <c r="DP61" i="70"/>
  <c r="DQ61" i="70"/>
  <c r="DR61" i="70"/>
  <c r="DS61" i="70"/>
  <c r="DT61" i="70"/>
  <c r="DU61" i="70"/>
  <c r="DV61" i="70"/>
  <c r="DW61" i="70"/>
  <c r="DX61" i="70"/>
  <c r="DY61" i="70"/>
  <c r="DZ61" i="70"/>
  <c r="EA61" i="70"/>
  <c r="EB61" i="70"/>
  <c r="EC61" i="70"/>
  <c r="ED61" i="70"/>
  <c r="EE61" i="70"/>
  <c r="EF61" i="70"/>
  <c r="EG61" i="70"/>
  <c r="EH61" i="70"/>
  <c r="EI61" i="70"/>
  <c r="EJ61" i="70"/>
  <c r="EK61" i="70"/>
  <c r="EL61" i="70"/>
  <c r="EM61" i="70"/>
  <c r="EN61" i="70"/>
  <c r="EO61" i="70"/>
  <c r="EP61" i="70"/>
  <c r="EQ61" i="70"/>
  <c r="ER61" i="70"/>
  <c r="ES61" i="70"/>
  <c r="ET61" i="70"/>
  <c r="EU61" i="70"/>
  <c r="EV61" i="70"/>
  <c r="EW61" i="70"/>
  <c r="EX61" i="70"/>
  <c r="EY61" i="70"/>
  <c r="EZ61" i="70"/>
  <c r="FA61" i="70"/>
  <c r="FB61" i="70"/>
  <c r="FC61" i="70"/>
  <c r="FD61" i="70"/>
  <c r="FE61" i="70"/>
  <c r="FF61" i="70"/>
  <c r="FG61" i="70"/>
  <c r="FH61" i="70"/>
  <c r="FI61" i="70"/>
  <c r="FJ61" i="70"/>
  <c r="FK61" i="70"/>
  <c r="FL61" i="70"/>
  <c r="FM61" i="70"/>
  <c r="FN61" i="70"/>
  <c r="FO61" i="70"/>
  <c r="FP61" i="70"/>
  <c r="FQ61" i="70"/>
  <c r="FR61" i="70"/>
  <c r="FS61" i="70"/>
  <c r="FT61" i="70"/>
  <c r="FU61" i="70"/>
  <c r="FV61" i="70"/>
  <c r="FW61" i="70"/>
  <c r="FX61" i="70"/>
  <c r="FY61" i="70"/>
  <c r="FZ61" i="70"/>
  <c r="GA61" i="70"/>
  <c r="GB61" i="70"/>
  <c r="GC61" i="70"/>
  <c r="U62" i="70"/>
  <c r="V62" i="70"/>
  <c r="X62" i="70"/>
  <c r="Y62" i="70"/>
  <c r="Z62" i="70"/>
  <c r="AA62" i="70"/>
  <c r="AI62" i="70"/>
  <c r="AJ62" i="70"/>
  <c r="AK62" i="70"/>
  <c r="AL62" i="70"/>
  <c r="AM62" i="70"/>
  <c r="AN62" i="70"/>
  <c r="AO62" i="70"/>
  <c r="AP62" i="70"/>
  <c r="AQ62" i="70"/>
  <c r="AR62" i="70"/>
  <c r="AS62" i="70"/>
  <c r="AT62" i="70"/>
  <c r="AU62" i="70"/>
  <c r="AV62" i="70"/>
  <c r="AW62" i="70"/>
  <c r="AX62" i="70"/>
  <c r="AY62" i="70"/>
  <c r="AZ62" i="70"/>
  <c r="BA62" i="70"/>
  <c r="BB62" i="70"/>
  <c r="BC62" i="70"/>
  <c r="BD62" i="70"/>
  <c r="BE62" i="70"/>
  <c r="BF62" i="70"/>
  <c r="BG62" i="70"/>
  <c r="BH62" i="70"/>
  <c r="BI62" i="70"/>
  <c r="BJ62" i="70"/>
  <c r="BK62" i="70"/>
  <c r="BL62" i="70"/>
  <c r="BM62" i="70"/>
  <c r="BN62" i="70"/>
  <c r="BO62" i="70"/>
  <c r="BP62" i="70"/>
  <c r="BQ62" i="70"/>
  <c r="BR62" i="70"/>
  <c r="BS62" i="70"/>
  <c r="BT62" i="70"/>
  <c r="BU62" i="70"/>
  <c r="BV62" i="70"/>
  <c r="BW62" i="70"/>
  <c r="BX62" i="70"/>
  <c r="BY62" i="70"/>
  <c r="BZ62" i="70"/>
  <c r="CA62" i="70"/>
  <c r="CB62" i="70"/>
  <c r="CC62" i="70"/>
  <c r="CD62" i="70"/>
  <c r="CE62" i="70"/>
  <c r="CF62" i="70"/>
  <c r="CG62" i="70"/>
  <c r="CH62" i="70"/>
  <c r="CI62" i="70"/>
  <c r="CJ62" i="70"/>
  <c r="CK62" i="70"/>
  <c r="CL62" i="70"/>
  <c r="CM62" i="70"/>
  <c r="CN62" i="70"/>
  <c r="CO62" i="70"/>
  <c r="CP62" i="70"/>
  <c r="CQ62" i="70"/>
  <c r="CR62" i="70"/>
  <c r="CS62" i="70"/>
  <c r="CT62" i="70"/>
  <c r="CU62" i="70"/>
  <c r="CV62" i="70"/>
  <c r="CW62" i="70"/>
  <c r="CX62" i="70"/>
  <c r="CY62" i="70"/>
  <c r="CZ62" i="70"/>
  <c r="DA62" i="70"/>
  <c r="DB62" i="70"/>
  <c r="DC62" i="70"/>
  <c r="DD62" i="70"/>
  <c r="DE62" i="70"/>
  <c r="DF62" i="70"/>
  <c r="DG62" i="70"/>
  <c r="DH62" i="70"/>
  <c r="DI62" i="70"/>
  <c r="DJ62" i="70"/>
  <c r="DK62" i="70"/>
  <c r="DL62" i="70"/>
  <c r="DM62" i="70"/>
  <c r="DN62" i="70"/>
  <c r="DO62" i="70"/>
  <c r="DP62" i="70"/>
  <c r="DQ62" i="70"/>
  <c r="DR62" i="70"/>
  <c r="DS62" i="70"/>
  <c r="DT62" i="70"/>
  <c r="DU62" i="70"/>
  <c r="DV62" i="70"/>
  <c r="DW62" i="70"/>
  <c r="DX62" i="70"/>
  <c r="DY62" i="70"/>
  <c r="DZ62" i="70"/>
  <c r="EA62" i="70"/>
  <c r="EB62" i="70"/>
  <c r="EC62" i="70"/>
  <c r="ED62" i="70"/>
  <c r="EE62" i="70"/>
  <c r="EF62" i="70"/>
  <c r="EG62" i="70"/>
  <c r="EH62" i="70"/>
  <c r="EI62" i="70"/>
  <c r="EJ62" i="70"/>
  <c r="EK62" i="70"/>
  <c r="EL62" i="70"/>
  <c r="EM62" i="70"/>
  <c r="EN62" i="70"/>
  <c r="EO62" i="70"/>
  <c r="EP62" i="70"/>
  <c r="EQ62" i="70"/>
  <c r="ER62" i="70"/>
  <c r="ES62" i="70"/>
  <c r="ET62" i="70"/>
  <c r="EU62" i="70"/>
  <c r="EV62" i="70"/>
  <c r="EW62" i="70"/>
  <c r="EX62" i="70"/>
  <c r="EY62" i="70"/>
  <c r="EZ62" i="70"/>
  <c r="FA62" i="70"/>
  <c r="FB62" i="70"/>
  <c r="FC62" i="70"/>
  <c r="FD62" i="70"/>
  <c r="FE62" i="70"/>
  <c r="FF62" i="70"/>
  <c r="FG62" i="70"/>
  <c r="FH62" i="70"/>
  <c r="FI62" i="70"/>
  <c r="FJ62" i="70"/>
  <c r="FK62" i="70"/>
  <c r="FL62" i="70"/>
  <c r="FM62" i="70"/>
  <c r="FN62" i="70"/>
  <c r="FO62" i="70"/>
  <c r="FP62" i="70"/>
  <c r="FQ62" i="70"/>
  <c r="FR62" i="70"/>
  <c r="FS62" i="70"/>
  <c r="FT62" i="70"/>
  <c r="FU62" i="70"/>
  <c r="FV62" i="70"/>
  <c r="FW62" i="70"/>
  <c r="FX62" i="70"/>
  <c r="FY62" i="70"/>
  <c r="FZ62" i="70"/>
  <c r="GA62" i="70"/>
  <c r="GB62" i="70"/>
  <c r="GC62" i="70"/>
  <c r="U63" i="70"/>
  <c r="V63" i="70"/>
  <c r="X63" i="70"/>
  <c r="Y63" i="70"/>
  <c r="Z63" i="70"/>
  <c r="AA63" i="70"/>
  <c r="AI63" i="70"/>
  <c r="AJ63" i="70"/>
  <c r="AK63" i="70"/>
  <c r="AL63" i="70"/>
  <c r="AM63" i="70"/>
  <c r="AN63" i="70"/>
  <c r="AO63" i="70"/>
  <c r="AP63" i="70"/>
  <c r="AQ63" i="70"/>
  <c r="AR63" i="70"/>
  <c r="AS63" i="70"/>
  <c r="AT63" i="70"/>
  <c r="AU63" i="70"/>
  <c r="AV63" i="70"/>
  <c r="AW63" i="70"/>
  <c r="AX63" i="70"/>
  <c r="AY63" i="70"/>
  <c r="AZ63" i="70"/>
  <c r="BA63" i="70"/>
  <c r="BB63" i="70"/>
  <c r="BC63" i="70"/>
  <c r="BD63" i="70"/>
  <c r="BE63" i="70"/>
  <c r="BF63" i="70"/>
  <c r="BG63" i="70"/>
  <c r="BH63" i="70"/>
  <c r="BI63" i="70"/>
  <c r="BJ63" i="70"/>
  <c r="BK63" i="70"/>
  <c r="BL63" i="70"/>
  <c r="BM63" i="70"/>
  <c r="BN63" i="70"/>
  <c r="BO63" i="70"/>
  <c r="BP63" i="70"/>
  <c r="BQ63" i="70"/>
  <c r="BR63" i="70"/>
  <c r="BS63" i="70"/>
  <c r="BT63" i="70"/>
  <c r="BU63" i="70"/>
  <c r="BV63" i="70"/>
  <c r="BW63" i="70"/>
  <c r="BX63" i="70"/>
  <c r="BY63" i="70"/>
  <c r="BZ63" i="70"/>
  <c r="CA63" i="70"/>
  <c r="CB63" i="70"/>
  <c r="CC63" i="70"/>
  <c r="CD63" i="70"/>
  <c r="CE63" i="70"/>
  <c r="CF63" i="70"/>
  <c r="CG63" i="70"/>
  <c r="CH63" i="70"/>
  <c r="CI63" i="70"/>
  <c r="CJ63" i="70"/>
  <c r="CK63" i="70"/>
  <c r="CL63" i="70"/>
  <c r="CM63" i="70"/>
  <c r="CN63" i="70"/>
  <c r="CO63" i="70"/>
  <c r="CP63" i="70"/>
  <c r="CQ63" i="70"/>
  <c r="CR63" i="70"/>
  <c r="CS63" i="70"/>
  <c r="CT63" i="70"/>
  <c r="CU63" i="70"/>
  <c r="CV63" i="70"/>
  <c r="CW63" i="70"/>
  <c r="CX63" i="70"/>
  <c r="CY63" i="70"/>
  <c r="CZ63" i="70"/>
  <c r="DA63" i="70"/>
  <c r="DB63" i="70"/>
  <c r="DC63" i="70"/>
  <c r="DD63" i="70"/>
  <c r="DE63" i="70"/>
  <c r="DF63" i="70"/>
  <c r="DG63" i="70"/>
  <c r="DH63" i="70"/>
  <c r="DI63" i="70"/>
  <c r="DJ63" i="70"/>
  <c r="DK63" i="70"/>
  <c r="DL63" i="70"/>
  <c r="DM63" i="70"/>
  <c r="DN63" i="70"/>
  <c r="DO63" i="70"/>
  <c r="DP63" i="70"/>
  <c r="DQ63" i="70"/>
  <c r="DR63" i="70"/>
  <c r="DS63" i="70"/>
  <c r="DT63" i="70"/>
  <c r="DU63" i="70"/>
  <c r="DV63" i="70"/>
  <c r="DW63" i="70"/>
  <c r="DX63" i="70"/>
  <c r="DY63" i="70"/>
  <c r="DZ63" i="70"/>
  <c r="EA63" i="70"/>
  <c r="EB63" i="70"/>
  <c r="EC63" i="70"/>
  <c r="ED63" i="70"/>
  <c r="EE63" i="70"/>
  <c r="EF63" i="70"/>
  <c r="EG63" i="70"/>
  <c r="EH63" i="70"/>
  <c r="EI63" i="70"/>
  <c r="EJ63" i="70"/>
  <c r="EK63" i="70"/>
  <c r="EL63" i="70"/>
  <c r="EM63" i="70"/>
  <c r="EN63" i="70"/>
  <c r="EO63" i="70"/>
  <c r="EP63" i="70"/>
  <c r="EQ63" i="70"/>
  <c r="ER63" i="70"/>
  <c r="ES63" i="70"/>
  <c r="ET63" i="70"/>
  <c r="EU63" i="70"/>
  <c r="EV63" i="70"/>
  <c r="EW63" i="70"/>
  <c r="EX63" i="70"/>
  <c r="EY63" i="70"/>
  <c r="EZ63" i="70"/>
  <c r="FA63" i="70"/>
  <c r="FB63" i="70"/>
  <c r="FC63" i="70"/>
  <c r="FD63" i="70"/>
  <c r="FE63" i="70"/>
  <c r="FF63" i="70"/>
  <c r="FG63" i="70"/>
  <c r="FH63" i="70"/>
  <c r="FI63" i="70"/>
  <c r="FJ63" i="70"/>
  <c r="FK63" i="70"/>
  <c r="FL63" i="70"/>
  <c r="FM63" i="70"/>
  <c r="FN63" i="70"/>
  <c r="FO63" i="70"/>
  <c r="FP63" i="70"/>
  <c r="FQ63" i="70"/>
  <c r="FR63" i="70"/>
  <c r="FS63" i="70"/>
  <c r="FT63" i="70"/>
  <c r="FU63" i="70"/>
  <c r="FV63" i="70"/>
  <c r="FW63" i="70"/>
  <c r="FX63" i="70"/>
  <c r="FY63" i="70"/>
  <c r="FZ63" i="70"/>
  <c r="GA63" i="70"/>
  <c r="GB63" i="70"/>
  <c r="GC63" i="70"/>
  <c r="U64" i="70"/>
  <c r="V64" i="70"/>
  <c r="X64" i="70"/>
  <c r="Y64" i="70"/>
  <c r="Z64" i="70"/>
  <c r="AA64" i="70"/>
  <c r="AI64" i="70"/>
  <c r="AJ64" i="70"/>
  <c r="AK64" i="70"/>
  <c r="AL64" i="70"/>
  <c r="AM64" i="70"/>
  <c r="AN64" i="70"/>
  <c r="AO64" i="70"/>
  <c r="AP64" i="70"/>
  <c r="AQ64" i="70"/>
  <c r="AR64" i="70"/>
  <c r="AS64" i="70"/>
  <c r="AT64" i="70"/>
  <c r="AU64" i="70"/>
  <c r="AV64" i="70"/>
  <c r="AW64" i="70"/>
  <c r="AX64" i="70"/>
  <c r="AY64" i="70"/>
  <c r="AZ64" i="70"/>
  <c r="BA64" i="70"/>
  <c r="BB64" i="70"/>
  <c r="BC64" i="70"/>
  <c r="BD64" i="70"/>
  <c r="BE64" i="70"/>
  <c r="BF64" i="70"/>
  <c r="BG64" i="70"/>
  <c r="BH64" i="70"/>
  <c r="BI64" i="70"/>
  <c r="BJ64" i="70"/>
  <c r="BK64" i="70"/>
  <c r="BL64" i="70"/>
  <c r="BM64" i="70"/>
  <c r="BN64" i="70"/>
  <c r="BO64" i="70"/>
  <c r="BP64" i="70"/>
  <c r="BQ64" i="70"/>
  <c r="BR64" i="70"/>
  <c r="BS64" i="70"/>
  <c r="BT64" i="70"/>
  <c r="BU64" i="70"/>
  <c r="BV64" i="70"/>
  <c r="BW64" i="70"/>
  <c r="BX64" i="70"/>
  <c r="BY64" i="70"/>
  <c r="BZ64" i="70"/>
  <c r="CA64" i="70"/>
  <c r="CB64" i="70"/>
  <c r="CC64" i="70"/>
  <c r="CD64" i="70"/>
  <c r="CE64" i="70"/>
  <c r="CF64" i="70"/>
  <c r="CG64" i="70"/>
  <c r="CH64" i="70"/>
  <c r="CI64" i="70"/>
  <c r="CJ64" i="70"/>
  <c r="CK64" i="70"/>
  <c r="CL64" i="70"/>
  <c r="CM64" i="70"/>
  <c r="CN64" i="70"/>
  <c r="CO64" i="70"/>
  <c r="CP64" i="70"/>
  <c r="CQ64" i="70"/>
  <c r="CR64" i="70"/>
  <c r="CS64" i="70"/>
  <c r="CT64" i="70"/>
  <c r="CU64" i="70"/>
  <c r="CV64" i="70"/>
  <c r="CW64" i="70"/>
  <c r="CX64" i="70"/>
  <c r="CY64" i="70"/>
  <c r="CZ64" i="70"/>
  <c r="DA64" i="70"/>
  <c r="DB64" i="70"/>
  <c r="DC64" i="70"/>
  <c r="DD64" i="70"/>
  <c r="DE64" i="70"/>
  <c r="DF64" i="70"/>
  <c r="DG64" i="70"/>
  <c r="DH64" i="70"/>
  <c r="DI64" i="70"/>
  <c r="DJ64" i="70"/>
  <c r="DK64" i="70"/>
  <c r="DL64" i="70"/>
  <c r="DM64" i="70"/>
  <c r="DN64" i="70"/>
  <c r="DO64" i="70"/>
  <c r="DP64" i="70"/>
  <c r="DQ64" i="70"/>
  <c r="DR64" i="70"/>
  <c r="DS64" i="70"/>
  <c r="DT64" i="70"/>
  <c r="DU64" i="70"/>
  <c r="DV64" i="70"/>
  <c r="DW64" i="70"/>
  <c r="DX64" i="70"/>
  <c r="DY64" i="70"/>
  <c r="DZ64" i="70"/>
  <c r="EA64" i="70"/>
  <c r="EB64" i="70"/>
  <c r="EC64" i="70"/>
  <c r="ED64" i="70"/>
  <c r="EE64" i="70"/>
  <c r="EF64" i="70"/>
  <c r="EG64" i="70"/>
  <c r="EH64" i="70"/>
  <c r="EI64" i="70"/>
  <c r="EJ64" i="70"/>
  <c r="EK64" i="70"/>
  <c r="EL64" i="70"/>
  <c r="EM64" i="70"/>
  <c r="EN64" i="70"/>
  <c r="EO64" i="70"/>
  <c r="EP64" i="70"/>
  <c r="EQ64" i="70"/>
  <c r="ER64" i="70"/>
  <c r="ES64" i="70"/>
  <c r="ET64" i="70"/>
  <c r="EU64" i="70"/>
  <c r="EV64" i="70"/>
  <c r="EW64" i="70"/>
  <c r="EX64" i="70"/>
  <c r="EY64" i="70"/>
  <c r="EZ64" i="70"/>
  <c r="FA64" i="70"/>
  <c r="FB64" i="70"/>
  <c r="FC64" i="70"/>
  <c r="FD64" i="70"/>
  <c r="FE64" i="70"/>
  <c r="FF64" i="70"/>
  <c r="FG64" i="70"/>
  <c r="FH64" i="70"/>
  <c r="FI64" i="70"/>
  <c r="FJ64" i="70"/>
  <c r="FK64" i="70"/>
  <c r="FL64" i="70"/>
  <c r="FM64" i="70"/>
  <c r="FN64" i="70"/>
  <c r="FO64" i="70"/>
  <c r="FP64" i="70"/>
  <c r="FQ64" i="70"/>
  <c r="FR64" i="70"/>
  <c r="FS64" i="70"/>
  <c r="FT64" i="70"/>
  <c r="FU64" i="70"/>
  <c r="FV64" i="70"/>
  <c r="FW64" i="70"/>
  <c r="FX64" i="70"/>
  <c r="FY64" i="70"/>
  <c r="FZ64" i="70"/>
  <c r="GA64" i="70"/>
  <c r="GB64" i="70"/>
  <c r="GC64" i="70"/>
  <c r="U65" i="70"/>
  <c r="V65" i="70"/>
  <c r="X65" i="70"/>
  <c r="Y65" i="70"/>
  <c r="Z65" i="70"/>
  <c r="AA65" i="70"/>
  <c r="AI65" i="70"/>
  <c r="AJ65" i="70"/>
  <c r="AK65" i="70"/>
  <c r="AL65" i="70"/>
  <c r="AM65" i="70"/>
  <c r="AN65" i="70"/>
  <c r="AO65" i="70"/>
  <c r="AP65" i="70"/>
  <c r="AQ65" i="70"/>
  <c r="AR65" i="70"/>
  <c r="AS65" i="70"/>
  <c r="AT65" i="70"/>
  <c r="AU65" i="70"/>
  <c r="AV65" i="70"/>
  <c r="AW65" i="70"/>
  <c r="AX65" i="70"/>
  <c r="AY65" i="70"/>
  <c r="AZ65" i="70"/>
  <c r="BA65" i="70"/>
  <c r="BB65" i="70"/>
  <c r="BC65" i="70"/>
  <c r="BD65" i="70"/>
  <c r="BE65" i="70"/>
  <c r="BF65" i="70"/>
  <c r="BG65" i="70"/>
  <c r="BH65" i="70"/>
  <c r="BI65" i="70"/>
  <c r="BJ65" i="70"/>
  <c r="BK65" i="70"/>
  <c r="BL65" i="70"/>
  <c r="BM65" i="70"/>
  <c r="BN65" i="70"/>
  <c r="BO65" i="70"/>
  <c r="BP65" i="70"/>
  <c r="BQ65" i="70"/>
  <c r="BR65" i="70"/>
  <c r="BS65" i="70"/>
  <c r="BT65" i="70"/>
  <c r="BU65" i="70"/>
  <c r="BV65" i="70"/>
  <c r="BW65" i="70"/>
  <c r="BX65" i="70"/>
  <c r="BY65" i="70"/>
  <c r="BZ65" i="70"/>
  <c r="CA65" i="70"/>
  <c r="CB65" i="70"/>
  <c r="CC65" i="70"/>
  <c r="CD65" i="70"/>
  <c r="CE65" i="70"/>
  <c r="CF65" i="70"/>
  <c r="CG65" i="70"/>
  <c r="CH65" i="70"/>
  <c r="CI65" i="70"/>
  <c r="CJ65" i="70"/>
  <c r="CK65" i="70"/>
  <c r="CL65" i="70"/>
  <c r="CM65" i="70"/>
  <c r="CN65" i="70"/>
  <c r="CO65" i="70"/>
  <c r="CP65" i="70"/>
  <c r="CQ65" i="70"/>
  <c r="CR65" i="70"/>
  <c r="CS65" i="70"/>
  <c r="CT65" i="70"/>
  <c r="CU65" i="70"/>
  <c r="CV65" i="70"/>
  <c r="CW65" i="70"/>
  <c r="CX65" i="70"/>
  <c r="CY65" i="70"/>
  <c r="CZ65" i="70"/>
  <c r="DA65" i="70"/>
  <c r="DB65" i="70"/>
  <c r="DC65" i="70"/>
  <c r="DD65" i="70"/>
  <c r="DE65" i="70"/>
  <c r="DF65" i="70"/>
  <c r="DG65" i="70"/>
  <c r="DH65" i="70"/>
  <c r="DI65" i="70"/>
  <c r="DJ65" i="70"/>
  <c r="DK65" i="70"/>
  <c r="DL65" i="70"/>
  <c r="DM65" i="70"/>
  <c r="DN65" i="70"/>
  <c r="DO65" i="70"/>
  <c r="DP65" i="70"/>
  <c r="DQ65" i="70"/>
  <c r="DR65" i="70"/>
  <c r="DS65" i="70"/>
  <c r="DT65" i="70"/>
  <c r="DU65" i="70"/>
  <c r="DV65" i="70"/>
  <c r="DW65" i="70"/>
  <c r="DX65" i="70"/>
  <c r="DY65" i="70"/>
  <c r="DZ65" i="70"/>
  <c r="EA65" i="70"/>
  <c r="EB65" i="70"/>
  <c r="EC65" i="70"/>
  <c r="ED65" i="70"/>
  <c r="EE65" i="70"/>
  <c r="EF65" i="70"/>
  <c r="EG65" i="70"/>
  <c r="EH65" i="70"/>
  <c r="EI65" i="70"/>
  <c r="EJ65" i="70"/>
  <c r="EK65" i="70"/>
  <c r="EL65" i="70"/>
  <c r="EM65" i="70"/>
  <c r="EN65" i="70"/>
  <c r="EO65" i="70"/>
  <c r="EP65" i="70"/>
  <c r="EQ65" i="70"/>
  <c r="ER65" i="70"/>
  <c r="ES65" i="70"/>
  <c r="ET65" i="70"/>
  <c r="EU65" i="70"/>
  <c r="EV65" i="70"/>
  <c r="EW65" i="70"/>
  <c r="EX65" i="70"/>
  <c r="EY65" i="70"/>
  <c r="EZ65" i="70"/>
  <c r="FA65" i="70"/>
  <c r="FB65" i="70"/>
  <c r="FC65" i="70"/>
  <c r="FD65" i="70"/>
  <c r="FE65" i="70"/>
  <c r="FF65" i="70"/>
  <c r="FG65" i="70"/>
  <c r="FH65" i="70"/>
  <c r="FI65" i="70"/>
  <c r="FJ65" i="70"/>
  <c r="FK65" i="70"/>
  <c r="FL65" i="70"/>
  <c r="FM65" i="70"/>
  <c r="FN65" i="70"/>
  <c r="FO65" i="70"/>
  <c r="FP65" i="70"/>
  <c r="FQ65" i="70"/>
  <c r="FR65" i="70"/>
  <c r="FS65" i="70"/>
  <c r="FT65" i="70"/>
  <c r="FU65" i="70"/>
  <c r="FV65" i="70"/>
  <c r="FW65" i="70"/>
  <c r="FX65" i="70"/>
  <c r="FY65" i="70"/>
  <c r="FZ65" i="70"/>
  <c r="GA65" i="70"/>
  <c r="GB65" i="70"/>
  <c r="GC65" i="70"/>
  <c r="U66" i="70"/>
  <c r="V66" i="70"/>
  <c r="X66" i="70"/>
  <c r="Y66" i="70"/>
  <c r="Z66" i="70"/>
  <c r="AA66" i="70"/>
  <c r="AI66" i="70"/>
  <c r="AJ66" i="70"/>
  <c r="AK66" i="70"/>
  <c r="AL66" i="70"/>
  <c r="AM66" i="70"/>
  <c r="AN66" i="70"/>
  <c r="AO66" i="70"/>
  <c r="AP66" i="70"/>
  <c r="AQ66" i="70"/>
  <c r="AR66" i="70"/>
  <c r="AS66" i="70"/>
  <c r="AT66" i="70"/>
  <c r="AU66" i="70"/>
  <c r="AV66" i="70"/>
  <c r="AW66" i="70"/>
  <c r="AX66" i="70"/>
  <c r="AY66" i="70"/>
  <c r="AZ66" i="70"/>
  <c r="BA66" i="70"/>
  <c r="BB66" i="70"/>
  <c r="BC66" i="70"/>
  <c r="BD66" i="70"/>
  <c r="BE66" i="70"/>
  <c r="BF66" i="70"/>
  <c r="BG66" i="70"/>
  <c r="BH66" i="70"/>
  <c r="BI66" i="70"/>
  <c r="BJ66" i="70"/>
  <c r="BK66" i="70"/>
  <c r="BL66" i="70"/>
  <c r="BM66" i="70"/>
  <c r="BN66" i="70"/>
  <c r="BO66" i="70"/>
  <c r="BP66" i="70"/>
  <c r="BQ66" i="70"/>
  <c r="BR66" i="70"/>
  <c r="BS66" i="70"/>
  <c r="BT66" i="70"/>
  <c r="BU66" i="70"/>
  <c r="BV66" i="70"/>
  <c r="BW66" i="70"/>
  <c r="BX66" i="70"/>
  <c r="BY66" i="70"/>
  <c r="BZ66" i="70"/>
  <c r="CA66" i="70"/>
  <c r="CB66" i="70"/>
  <c r="CC66" i="70"/>
  <c r="CD66" i="70"/>
  <c r="CE66" i="70"/>
  <c r="CF66" i="70"/>
  <c r="CG66" i="70"/>
  <c r="CH66" i="70"/>
  <c r="CI66" i="70"/>
  <c r="CJ66" i="70"/>
  <c r="CK66" i="70"/>
  <c r="CL66" i="70"/>
  <c r="CM66" i="70"/>
  <c r="CN66" i="70"/>
  <c r="CO66" i="70"/>
  <c r="CP66" i="70"/>
  <c r="CQ66" i="70"/>
  <c r="CR66" i="70"/>
  <c r="CS66" i="70"/>
  <c r="CT66" i="70"/>
  <c r="CU66" i="70"/>
  <c r="CV66" i="70"/>
  <c r="CW66" i="70"/>
  <c r="CX66" i="70"/>
  <c r="CY66" i="70"/>
  <c r="CZ66" i="70"/>
  <c r="DA66" i="70"/>
  <c r="DB66" i="70"/>
  <c r="DC66" i="70"/>
  <c r="DD66" i="70"/>
  <c r="DE66" i="70"/>
  <c r="DF66" i="70"/>
  <c r="DG66" i="70"/>
  <c r="DH66" i="70"/>
  <c r="DI66" i="70"/>
  <c r="DJ66" i="70"/>
  <c r="DK66" i="70"/>
  <c r="DL66" i="70"/>
  <c r="DM66" i="70"/>
  <c r="DN66" i="70"/>
  <c r="DO66" i="70"/>
  <c r="DP66" i="70"/>
  <c r="DQ66" i="70"/>
  <c r="DR66" i="70"/>
  <c r="DS66" i="70"/>
  <c r="DT66" i="70"/>
  <c r="DU66" i="70"/>
  <c r="DV66" i="70"/>
  <c r="DW66" i="70"/>
  <c r="DX66" i="70"/>
  <c r="DY66" i="70"/>
  <c r="DZ66" i="70"/>
  <c r="EA66" i="70"/>
  <c r="EB66" i="70"/>
  <c r="EC66" i="70"/>
  <c r="ED66" i="70"/>
  <c r="EE66" i="70"/>
  <c r="EF66" i="70"/>
  <c r="EG66" i="70"/>
  <c r="EH66" i="70"/>
  <c r="EI66" i="70"/>
  <c r="EJ66" i="70"/>
  <c r="EK66" i="70"/>
  <c r="EL66" i="70"/>
  <c r="EM66" i="70"/>
  <c r="EN66" i="70"/>
  <c r="EO66" i="70"/>
  <c r="EP66" i="70"/>
  <c r="EQ66" i="70"/>
  <c r="ER66" i="70"/>
  <c r="ES66" i="70"/>
  <c r="ET66" i="70"/>
  <c r="EU66" i="70"/>
  <c r="EV66" i="70"/>
  <c r="EW66" i="70"/>
  <c r="EX66" i="70"/>
  <c r="EY66" i="70"/>
  <c r="EZ66" i="70"/>
  <c r="FA66" i="70"/>
  <c r="FB66" i="70"/>
  <c r="FC66" i="70"/>
  <c r="FD66" i="70"/>
  <c r="FE66" i="70"/>
  <c r="FF66" i="70"/>
  <c r="FG66" i="70"/>
  <c r="FH66" i="70"/>
  <c r="FI66" i="70"/>
  <c r="FJ66" i="70"/>
  <c r="FK66" i="70"/>
  <c r="FL66" i="70"/>
  <c r="FM66" i="70"/>
  <c r="FN66" i="70"/>
  <c r="FO66" i="70"/>
  <c r="FP66" i="70"/>
  <c r="FQ66" i="70"/>
  <c r="FR66" i="70"/>
  <c r="FS66" i="70"/>
  <c r="FT66" i="70"/>
  <c r="FU66" i="70"/>
  <c r="FV66" i="70"/>
  <c r="FW66" i="70"/>
  <c r="FX66" i="70"/>
  <c r="FY66" i="70"/>
  <c r="FZ66" i="70"/>
  <c r="GA66" i="70"/>
  <c r="GB66" i="70"/>
  <c r="GC66" i="70"/>
  <c r="U67" i="70"/>
  <c r="V67" i="70"/>
  <c r="X67" i="70"/>
  <c r="Y67" i="70"/>
  <c r="Z67" i="70"/>
  <c r="AA67" i="70"/>
  <c r="AI67" i="70"/>
  <c r="AJ67" i="70"/>
  <c r="AK67" i="70"/>
  <c r="AL67" i="70"/>
  <c r="AM67" i="70"/>
  <c r="AN67" i="70"/>
  <c r="AO67" i="70"/>
  <c r="AP67" i="70"/>
  <c r="AQ67" i="70"/>
  <c r="AR67" i="70"/>
  <c r="AS67" i="70"/>
  <c r="AT67" i="70"/>
  <c r="AU67" i="70"/>
  <c r="AV67" i="70"/>
  <c r="AW67" i="70"/>
  <c r="AX67" i="70"/>
  <c r="AY67" i="70"/>
  <c r="AZ67" i="70"/>
  <c r="BA67" i="70"/>
  <c r="BB67" i="70"/>
  <c r="BC67" i="70"/>
  <c r="BD67" i="70"/>
  <c r="BE67" i="70"/>
  <c r="BF67" i="70"/>
  <c r="BG67" i="70"/>
  <c r="BH67" i="70"/>
  <c r="BI67" i="70"/>
  <c r="BJ67" i="70"/>
  <c r="BK67" i="70"/>
  <c r="BL67" i="70"/>
  <c r="BM67" i="70"/>
  <c r="BN67" i="70"/>
  <c r="BO67" i="70"/>
  <c r="BP67" i="70"/>
  <c r="BQ67" i="70"/>
  <c r="BR67" i="70"/>
  <c r="BS67" i="70"/>
  <c r="BT67" i="70"/>
  <c r="BU67" i="70"/>
  <c r="BV67" i="70"/>
  <c r="BW67" i="70"/>
  <c r="BX67" i="70"/>
  <c r="BY67" i="70"/>
  <c r="BZ67" i="70"/>
  <c r="CA67" i="70"/>
  <c r="CB67" i="70"/>
  <c r="CC67" i="70"/>
  <c r="CD67" i="70"/>
  <c r="CE67" i="70"/>
  <c r="CF67" i="70"/>
  <c r="CG67" i="70"/>
  <c r="CH67" i="70"/>
  <c r="CI67" i="70"/>
  <c r="CJ67" i="70"/>
  <c r="CK67" i="70"/>
  <c r="CL67" i="70"/>
  <c r="CM67" i="70"/>
  <c r="CN67" i="70"/>
  <c r="CO67" i="70"/>
  <c r="CP67" i="70"/>
  <c r="CQ67" i="70"/>
  <c r="CR67" i="70"/>
  <c r="CS67" i="70"/>
  <c r="CT67" i="70"/>
  <c r="CU67" i="70"/>
  <c r="CV67" i="70"/>
  <c r="CW67" i="70"/>
  <c r="CX67" i="70"/>
  <c r="CY67" i="70"/>
  <c r="CZ67" i="70"/>
  <c r="DA67" i="70"/>
  <c r="DB67" i="70"/>
  <c r="DC67" i="70"/>
  <c r="DD67" i="70"/>
  <c r="DE67" i="70"/>
  <c r="DF67" i="70"/>
  <c r="DG67" i="70"/>
  <c r="DH67" i="70"/>
  <c r="DI67" i="70"/>
  <c r="DJ67" i="70"/>
  <c r="DK67" i="70"/>
  <c r="DL67" i="70"/>
  <c r="DM67" i="70"/>
  <c r="DN67" i="70"/>
  <c r="DO67" i="70"/>
  <c r="DP67" i="70"/>
  <c r="DQ67" i="70"/>
  <c r="DR67" i="70"/>
  <c r="DS67" i="70"/>
  <c r="DT67" i="70"/>
  <c r="DU67" i="70"/>
  <c r="DV67" i="70"/>
  <c r="DW67" i="70"/>
  <c r="DX67" i="70"/>
  <c r="DY67" i="70"/>
  <c r="DZ67" i="70"/>
  <c r="EA67" i="70"/>
  <c r="EB67" i="70"/>
  <c r="EC67" i="70"/>
  <c r="ED67" i="70"/>
  <c r="EE67" i="70"/>
  <c r="EF67" i="70"/>
  <c r="EG67" i="70"/>
  <c r="EH67" i="70"/>
  <c r="EI67" i="70"/>
  <c r="EJ67" i="70"/>
  <c r="EK67" i="70"/>
  <c r="EL67" i="70"/>
  <c r="EM67" i="70"/>
  <c r="EN67" i="70"/>
  <c r="EO67" i="70"/>
  <c r="EP67" i="70"/>
  <c r="EQ67" i="70"/>
  <c r="ER67" i="70"/>
  <c r="ES67" i="70"/>
  <c r="ET67" i="70"/>
  <c r="EU67" i="70"/>
  <c r="EV67" i="70"/>
  <c r="EW67" i="70"/>
  <c r="EX67" i="70"/>
  <c r="EY67" i="70"/>
  <c r="EZ67" i="70"/>
  <c r="FA67" i="70"/>
  <c r="FB67" i="70"/>
  <c r="FC67" i="70"/>
  <c r="FD67" i="70"/>
  <c r="FE67" i="70"/>
  <c r="FF67" i="70"/>
  <c r="FG67" i="70"/>
  <c r="FH67" i="70"/>
  <c r="FI67" i="70"/>
  <c r="FJ67" i="70"/>
  <c r="FK67" i="70"/>
  <c r="FL67" i="70"/>
  <c r="FM67" i="70"/>
  <c r="FN67" i="70"/>
  <c r="FO67" i="70"/>
  <c r="FP67" i="70"/>
  <c r="FQ67" i="70"/>
  <c r="FR67" i="70"/>
  <c r="FS67" i="70"/>
  <c r="FT67" i="70"/>
  <c r="FU67" i="70"/>
  <c r="FV67" i="70"/>
  <c r="FW67" i="70"/>
  <c r="FX67" i="70"/>
  <c r="FY67" i="70"/>
  <c r="FZ67" i="70"/>
  <c r="GA67" i="70"/>
  <c r="GB67" i="70"/>
  <c r="GC67" i="70"/>
  <c r="U68" i="70"/>
  <c r="V68" i="70"/>
  <c r="X68" i="70"/>
  <c r="Y68" i="70"/>
  <c r="Z68" i="70"/>
  <c r="AA68" i="70"/>
  <c r="AI68" i="70"/>
  <c r="AJ68" i="70"/>
  <c r="AK68" i="70"/>
  <c r="AL68" i="70"/>
  <c r="AM68" i="70"/>
  <c r="AN68" i="70"/>
  <c r="AO68" i="70"/>
  <c r="AP68" i="70"/>
  <c r="AQ68" i="70"/>
  <c r="AR68" i="70"/>
  <c r="AS68" i="70"/>
  <c r="AT68" i="70"/>
  <c r="AU68" i="70"/>
  <c r="AV68" i="70"/>
  <c r="AW68" i="70"/>
  <c r="AX68" i="70"/>
  <c r="AY68" i="70"/>
  <c r="AZ68" i="70"/>
  <c r="BA68" i="70"/>
  <c r="BB68" i="70"/>
  <c r="BC68" i="70"/>
  <c r="BD68" i="70"/>
  <c r="BE68" i="70"/>
  <c r="BF68" i="70"/>
  <c r="BG68" i="70"/>
  <c r="BH68" i="70"/>
  <c r="BI68" i="70"/>
  <c r="BJ68" i="70"/>
  <c r="BK68" i="70"/>
  <c r="BL68" i="70"/>
  <c r="BM68" i="70"/>
  <c r="BN68" i="70"/>
  <c r="BO68" i="70"/>
  <c r="BP68" i="70"/>
  <c r="BQ68" i="70"/>
  <c r="BR68" i="70"/>
  <c r="BS68" i="70"/>
  <c r="BT68" i="70"/>
  <c r="BU68" i="70"/>
  <c r="BV68" i="70"/>
  <c r="BW68" i="70"/>
  <c r="BX68" i="70"/>
  <c r="BY68" i="70"/>
  <c r="BZ68" i="70"/>
  <c r="CA68" i="70"/>
  <c r="CB68" i="70"/>
  <c r="CC68" i="70"/>
  <c r="CD68" i="70"/>
  <c r="CE68" i="70"/>
  <c r="CF68" i="70"/>
  <c r="CG68" i="70"/>
  <c r="CH68" i="70"/>
  <c r="CI68" i="70"/>
  <c r="CJ68" i="70"/>
  <c r="CK68" i="70"/>
  <c r="CL68" i="70"/>
  <c r="CM68" i="70"/>
  <c r="CN68" i="70"/>
  <c r="CO68" i="70"/>
  <c r="CP68" i="70"/>
  <c r="CQ68" i="70"/>
  <c r="CR68" i="70"/>
  <c r="CS68" i="70"/>
  <c r="CT68" i="70"/>
  <c r="CU68" i="70"/>
  <c r="CV68" i="70"/>
  <c r="CW68" i="70"/>
  <c r="CX68" i="70"/>
  <c r="CY68" i="70"/>
  <c r="CZ68" i="70"/>
  <c r="DA68" i="70"/>
  <c r="DB68" i="70"/>
  <c r="DC68" i="70"/>
  <c r="DD68" i="70"/>
  <c r="DE68" i="70"/>
  <c r="DF68" i="70"/>
  <c r="DG68" i="70"/>
  <c r="DH68" i="70"/>
  <c r="DI68" i="70"/>
  <c r="DJ68" i="70"/>
  <c r="DK68" i="70"/>
  <c r="DL68" i="70"/>
  <c r="DM68" i="70"/>
  <c r="DN68" i="70"/>
  <c r="DO68" i="70"/>
  <c r="DP68" i="70"/>
  <c r="DQ68" i="70"/>
  <c r="DR68" i="70"/>
  <c r="DS68" i="70"/>
  <c r="DT68" i="70"/>
  <c r="DU68" i="70"/>
  <c r="DV68" i="70"/>
  <c r="DW68" i="70"/>
  <c r="DX68" i="70"/>
  <c r="DY68" i="70"/>
  <c r="DZ68" i="70"/>
  <c r="EA68" i="70"/>
  <c r="EB68" i="70"/>
  <c r="EC68" i="70"/>
  <c r="ED68" i="70"/>
  <c r="EE68" i="70"/>
  <c r="EF68" i="70"/>
  <c r="EG68" i="70"/>
  <c r="EH68" i="70"/>
  <c r="EI68" i="70"/>
  <c r="EJ68" i="70"/>
  <c r="EK68" i="70"/>
  <c r="EL68" i="70"/>
  <c r="EM68" i="70"/>
  <c r="EN68" i="70"/>
  <c r="EO68" i="70"/>
  <c r="EP68" i="70"/>
  <c r="EQ68" i="70"/>
  <c r="ER68" i="70"/>
  <c r="ES68" i="70"/>
  <c r="ET68" i="70"/>
  <c r="EU68" i="70"/>
  <c r="EV68" i="70"/>
  <c r="EW68" i="70"/>
  <c r="EX68" i="70"/>
  <c r="EY68" i="70"/>
  <c r="EZ68" i="70"/>
  <c r="FA68" i="70"/>
  <c r="FB68" i="70"/>
  <c r="FC68" i="70"/>
  <c r="FD68" i="70"/>
  <c r="FE68" i="70"/>
  <c r="FF68" i="70"/>
  <c r="FG68" i="70"/>
  <c r="FH68" i="70"/>
  <c r="FI68" i="70"/>
  <c r="FJ68" i="70"/>
  <c r="FK68" i="70"/>
  <c r="FL68" i="70"/>
  <c r="FM68" i="70"/>
  <c r="FN68" i="70"/>
  <c r="FO68" i="70"/>
  <c r="FP68" i="70"/>
  <c r="FQ68" i="70"/>
  <c r="FR68" i="70"/>
  <c r="FS68" i="70"/>
  <c r="FT68" i="70"/>
  <c r="FU68" i="70"/>
  <c r="FV68" i="70"/>
  <c r="FW68" i="70"/>
  <c r="FX68" i="70"/>
  <c r="FY68" i="70"/>
  <c r="FZ68" i="70"/>
  <c r="GA68" i="70"/>
  <c r="GB68" i="70"/>
  <c r="GC68" i="70"/>
  <c r="U69" i="70"/>
  <c r="V69" i="70"/>
  <c r="X69" i="70"/>
  <c r="Y69" i="70"/>
  <c r="Z69" i="70"/>
  <c r="AA69" i="70"/>
  <c r="AI69" i="70"/>
  <c r="AJ69" i="70"/>
  <c r="AK69" i="70"/>
  <c r="AL69" i="70"/>
  <c r="AM69" i="70"/>
  <c r="AN69" i="70"/>
  <c r="AO69" i="70"/>
  <c r="AP69" i="70"/>
  <c r="AQ69" i="70"/>
  <c r="AR69" i="70"/>
  <c r="AS69" i="70"/>
  <c r="AT69" i="70"/>
  <c r="AU69" i="70"/>
  <c r="AV69" i="70"/>
  <c r="AW69" i="70"/>
  <c r="AX69" i="70"/>
  <c r="AY69" i="70"/>
  <c r="AZ69" i="70"/>
  <c r="BA69" i="70"/>
  <c r="BB69" i="70"/>
  <c r="BC69" i="70"/>
  <c r="BD69" i="70"/>
  <c r="BE69" i="70"/>
  <c r="BF69" i="70"/>
  <c r="BG69" i="70"/>
  <c r="BH69" i="70"/>
  <c r="BI69" i="70"/>
  <c r="BJ69" i="70"/>
  <c r="BK69" i="70"/>
  <c r="BL69" i="70"/>
  <c r="BM69" i="70"/>
  <c r="BN69" i="70"/>
  <c r="BO69" i="70"/>
  <c r="BP69" i="70"/>
  <c r="BQ69" i="70"/>
  <c r="BR69" i="70"/>
  <c r="BS69" i="70"/>
  <c r="BT69" i="70"/>
  <c r="BU69" i="70"/>
  <c r="BV69" i="70"/>
  <c r="BW69" i="70"/>
  <c r="BX69" i="70"/>
  <c r="BY69" i="70"/>
  <c r="BZ69" i="70"/>
  <c r="CA69" i="70"/>
  <c r="CB69" i="70"/>
  <c r="CC69" i="70"/>
  <c r="CD69" i="70"/>
  <c r="CE69" i="70"/>
  <c r="CF69" i="70"/>
  <c r="CG69" i="70"/>
  <c r="CH69" i="70"/>
  <c r="CI69" i="70"/>
  <c r="CJ69" i="70"/>
  <c r="CK69" i="70"/>
  <c r="CL69" i="70"/>
  <c r="CM69" i="70"/>
  <c r="CN69" i="70"/>
  <c r="CO69" i="70"/>
  <c r="CP69" i="70"/>
  <c r="CQ69" i="70"/>
  <c r="CR69" i="70"/>
  <c r="CS69" i="70"/>
  <c r="CT69" i="70"/>
  <c r="CU69" i="70"/>
  <c r="CV69" i="70"/>
  <c r="CW69" i="70"/>
  <c r="CX69" i="70"/>
  <c r="CY69" i="70"/>
  <c r="CZ69" i="70"/>
  <c r="DA69" i="70"/>
  <c r="DB69" i="70"/>
  <c r="DC69" i="70"/>
  <c r="DD69" i="70"/>
  <c r="DE69" i="70"/>
  <c r="DF69" i="70"/>
  <c r="DG69" i="70"/>
  <c r="DH69" i="70"/>
  <c r="DI69" i="70"/>
  <c r="DJ69" i="70"/>
  <c r="DK69" i="70"/>
  <c r="DL69" i="70"/>
  <c r="DM69" i="70"/>
  <c r="DN69" i="70"/>
  <c r="DO69" i="70"/>
  <c r="DP69" i="70"/>
  <c r="DQ69" i="70"/>
  <c r="DR69" i="70"/>
  <c r="DS69" i="70"/>
  <c r="DT69" i="70"/>
  <c r="DU69" i="70"/>
  <c r="DV69" i="70"/>
  <c r="DW69" i="70"/>
  <c r="DX69" i="70"/>
  <c r="DY69" i="70"/>
  <c r="DZ69" i="70"/>
  <c r="EA69" i="70"/>
  <c r="EB69" i="70"/>
  <c r="EC69" i="70"/>
  <c r="ED69" i="70"/>
  <c r="EE69" i="70"/>
  <c r="EF69" i="70"/>
  <c r="EG69" i="70"/>
  <c r="EH69" i="70"/>
  <c r="EI69" i="70"/>
  <c r="EJ69" i="70"/>
  <c r="EK69" i="70"/>
  <c r="EL69" i="70"/>
  <c r="EM69" i="70"/>
  <c r="EN69" i="70"/>
  <c r="EO69" i="70"/>
  <c r="EP69" i="70"/>
  <c r="EQ69" i="70"/>
  <c r="ER69" i="70"/>
  <c r="ES69" i="70"/>
  <c r="ET69" i="70"/>
  <c r="EU69" i="70"/>
  <c r="EV69" i="70"/>
  <c r="EW69" i="70"/>
  <c r="EX69" i="70"/>
  <c r="EY69" i="70"/>
  <c r="EZ69" i="70"/>
  <c r="FA69" i="70"/>
  <c r="FB69" i="70"/>
  <c r="FC69" i="70"/>
  <c r="FD69" i="70"/>
  <c r="FE69" i="70"/>
  <c r="FF69" i="70"/>
  <c r="FG69" i="70"/>
  <c r="FH69" i="70"/>
  <c r="FI69" i="70"/>
  <c r="FJ69" i="70"/>
  <c r="FK69" i="70"/>
  <c r="FL69" i="70"/>
  <c r="FM69" i="70"/>
  <c r="FN69" i="70"/>
  <c r="FO69" i="70"/>
  <c r="FP69" i="70"/>
  <c r="FQ69" i="70"/>
  <c r="FR69" i="70"/>
  <c r="FS69" i="70"/>
  <c r="FT69" i="70"/>
  <c r="FU69" i="70"/>
  <c r="FV69" i="70"/>
  <c r="FW69" i="70"/>
  <c r="FX69" i="70"/>
  <c r="FY69" i="70"/>
  <c r="FZ69" i="70"/>
  <c r="GA69" i="70"/>
  <c r="GB69" i="70"/>
  <c r="GC69" i="70"/>
  <c r="U70" i="70"/>
  <c r="V70" i="70"/>
  <c r="X70" i="70"/>
  <c r="Y70" i="70"/>
  <c r="Z70" i="70"/>
  <c r="AA70" i="70"/>
  <c r="AI70" i="70"/>
  <c r="AJ70" i="70"/>
  <c r="AK70" i="70"/>
  <c r="AL70" i="70"/>
  <c r="AM70" i="70"/>
  <c r="AN70" i="70"/>
  <c r="AO70" i="70"/>
  <c r="AP70" i="70"/>
  <c r="AQ70" i="70"/>
  <c r="AR70" i="70"/>
  <c r="AS70" i="70"/>
  <c r="AT70" i="70"/>
  <c r="AU70" i="70"/>
  <c r="AV70" i="70"/>
  <c r="AW70" i="70"/>
  <c r="AX70" i="70"/>
  <c r="AY70" i="70"/>
  <c r="AZ70" i="70"/>
  <c r="BA70" i="70"/>
  <c r="BB70" i="70"/>
  <c r="BC70" i="70"/>
  <c r="BD70" i="70"/>
  <c r="BE70" i="70"/>
  <c r="BF70" i="70"/>
  <c r="BG70" i="70"/>
  <c r="BH70" i="70"/>
  <c r="BI70" i="70"/>
  <c r="BJ70" i="70"/>
  <c r="BK70" i="70"/>
  <c r="BL70" i="70"/>
  <c r="BM70" i="70"/>
  <c r="BN70" i="70"/>
  <c r="BO70" i="70"/>
  <c r="BP70" i="70"/>
  <c r="BQ70" i="70"/>
  <c r="BR70" i="70"/>
  <c r="BS70" i="70"/>
  <c r="BT70" i="70"/>
  <c r="BU70" i="70"/>
  <c r="BV70" i="70"/>
  <c r="BW70" i="70"/>
  <c r="BX70" i="70"/>
  <c r="BY70" i="70"/>
  <c r="BZ70" i="70"/>
  <c r="CA70" i="70"/>
  <c r="CB70" i="70"/>
  <c r="CC70" i="70"/>
  <c r="CD70" i="70"/>
  <c r="CE70" i="70"/>
  <c r="CF70" i="70"/>
  <c r="CG70" i="70"/>
  <c r="CH70" i="70"/>
  <c r="CI70" i="70"/>
  <c r="CJ70" i="70"/>
  <c r="CK70" i="70"/>
  <c r="CL70" i="70"/>
  <c r="CM70" i="70"/>
  <c r="CN70" i="70"/>
  <c r="CO70" i="70"/>
  <c r="CP70" i="70"/>
  <c r="CQ70" i="70"/>
  <c r="CR70" i="70"/>
  <c r="CS70" i="70"/>
  <c r="CT70" i="70"/>
  <c r="CU70" i="70"/>
  <c r="CV70" i="70"/>
  <c r="CW70" i="70"/>
  <c r="CX70" i="70"/>
  <c r="CY70" i="70"/>
  <c r="CZ70" i="70"/>
  <c r="DA70" i="70"/>
  <c r="DB70" i="70"/>
  <c r="DC70" i="70"/>
  <c r="DD70" i="70"/>
  <c r="DE70" i="70"/>
  <c r="DF70" i="70"/>
  <c r="DG70" i="70"/>
  <c r="DH70" i="70"/>
  <c r="DI70" i="70"/>
  <c r="DJ70" i="70"/>
  <c r="DK70" i="70"/>
  <c r="DL70" i="70"/>
  <c r="DM70" i="70"/>
  <c r="DN70" i="70"/>
  <c r="DO70" i="70"/>
  <c r="DP70" i="70"/>
  <c r="DQ70" i="70"/>
  <c r="DR70" i="70"/>
  <c r="DS70" i="70"/>
  <c r="DT70" i="70"/>
  <c r="DU70" i="70"/>
  <c r="DV70" i="70"/>
  <c r="DW70" i="70"/>
  <c r="DX70" i="70"/>
  <c r="DY70" i="70"/>
  <c r="DZ70" i="70"/>
  <c r="EA70" i="70"/>
  <c r="EB70" i="70"/>
  <c r="EC70" i="70"/>
  <c r="ED70" i="70"/>
  <c r="EE70" i="70"/>
  <c r="EF70" i="70"/>
  <c r="EG70" i="70"/>
  <c r="EH70" i="70"/>
  <c r="EI70" i="70"/>
  <c r="EJ70" i="70"/>
  <c r="EK70" i="70"/>
  <c r="EL70" i="70"/>
  <c r="EM70" i="70"/>
  <c r="EN70" i="70"/>
  <c r="EO70" i="70"/>
  <c r="EP70" i="70"/>
  <c r="EQ70" i="70"/>
  <c r="ER70" i="70"/>
  <c r="ES70" i="70"/>
  <c r="ET70" i="70"/>
  <c r="EU70" i="70"/>
  <c r="EV70" i="70"/>
  <c r="EW70" i="70"/>
  <c r="EX70" i="70"/>
  <c r="EY70" i="70"/>
  <c r="EZ70" i="70"/>
  <c r="FA70" i="70"/>
  <c r="FB70" i="70"/>
  <c r="FC70" i="70"/>
  <c r="FD70" i="70"/>
  <c r="FE70" i="70"/>
  <c r="FF70" i="70"/>
  <c r="FG70" i="70"/>
  <c r="FH70" i="70"/>
  <c r="FI70" i="70"/>
  <c r="FJ70" i="70"/>
  <c r="FK70" i="70"/>
  <c r="FL70" i="70"/>
  <c r="FM70" i="70"/>
  <c r="FN70" i="70"/>
  <c r="FO70" i="70"/>
  <c r="FP70" i="70"/>
  <c r="FQ70" i="70"/>
  <c r="FR70" i="70"/>
  <c r="FS70" i="70"/>
  <c r="FT70" i="70"/>
  <c r="FU70" i="70"/>
  <c r="FV70" i="70"/>
  <c r="FW70" i="70"/>
  <c r="FX70" i="70"/>
  <c r="FY70" i="70"/>
  <c r="FZ70" i="70"/>
  <c r="GA70" i="70"/>
  <c r="GB70" i="70"/>
  <c r="GC70" i="70"/>
  <c r="U71" i="70"/>
  <c r="V71" i="70"/>
  <c r="X71" i="70"/>
  <c r="Y71" i="70"/>
  <c r="Z71" i="70"/>
  <c r="AA71" i="70"/>
  <c r="AI71" i="70"/>
  <c r="AJ71" i="70"/>
  <c r="AK71" i="70"/>
  <c r="AL71" i="70"/>
  <c r="AM71" i="70"/>
  <c r="AN71" i="70"/>
  <c r="AO71" i="70"/>
  <c r="AP71" i="70"/>
  <c r="AQ71" i="70"/>
  <c r="AR71" i="70"/>
  <c r="AS71" i="70"/>
  <c r="AT71" i="70"/>
  <c r="AU71" i="70"/>
  <c r="AV71" i="70"/>
  <c r="AW71" i="70"/>
  <c r="AX71" i="70"/>
  <c r="AY71" i="70"/>
  <c r="AZ71" i="70"/>
  <c r="BA71" i="70"/>
  <c r="BB71" i="70"/>
  <c r="BC71" i="70"/>
  <c r="BD71" i="70"/>
  <c r="BE71" i="70"/>
  <c r="BF71" i="70"/>
  <c r="BG71" i="70"/>
  <c r="BH71" i="70"/>
  <c r="BI71" i="70"/>
  <c r="BJ71" i="70"/>
  <c r="BK71" i="70"/>
  <c r="BL71" i="70"/>
  <c r="BM71" i="70"/>
  <c r="BN71" i="70"/>
  <c r="BO71" i="70"/>
  <c r="BP71" i="70"/>
  <c r="BQ71" i="70"/>
  <c r="BR71" i="70"/>
  <c r="BS71" i="70"/>
  <c r="BT71" i="70"/>
  <c r="BU71" i="70"/>
  <c r="BV71" i="70"/>
  <c r="BW71" i="70"/>
  <c r="BX71" i="70"/>
  <c r="BY71" i="70"/>
  <c r="BZ71" i="70"/>
  <c r="CA71" i="70"/>
  <c r="CB71" i="70"/>
  <c r="CC71" i="70"/>
  <c r="CD71" i="70"/>
  <c r="CE71" i="70"/>
  <c r="CF71" i="70"/>
  <c r="CG71" i="70"/>
  <c r="CH71" i="70"/>
  <c r="CI71" i="70"/>
  <c r="CJ71" i="70"/>
  <c r="CK71" i="70"/>
  <c r="CL71" i="70"/>
  <c r="CM71" i="70"/>
  <c r="CN71" i="70"/>
  <c r="CO71" i="70"/>
  <c r="CP71" i="70"/>
  <c r="CQ71" i="70"/>
  <c r="CR71" i="70"/>
  <c r="CS71" i="70"/>
  <c r="CT71" i="70"/>
  <c r="CU71" i="70"/>
  <c r="CV71" i="70"/>
  <c r="CW71" i="70"/>
  <c r="CX71" i="70"/>
  <c r="CY71" i="70"/>
  <c r="CZ71" i="70"/>
  <c r="DA71" i="70"/>
  <c r="DB71" i="70"/>
  <c r="DC71" i="70"/>
  <c r="DD71" i="70"/>
  <c r="DE71" i="70"/>
  <c r="DF71" i="70"/>
  <c r="DG71" i="70"/>
  <c r="DH71" i="70"/>
  <c r="DI71" i="70"/>
  <c r="DJ71" i="70"/>
  <c r="DK71" i="70"/>
  <c r="DL71" i="70"/>
  <c r="DM71" i="70"/>
  <c r="DN71" i="70"/>
  <c r="DO71" i="70"/>
  <c r="DP71" i="70"/>
  <c r="DQ71" i="70"/>
  <c r="DR71" i="70"/>
  <c r="DS71" i="70"/>
  <c r="DT71" i="70"/>
  <c r="DU71" i="70"/>
  <c r="DV71" i="70"/>
  <c r="DW71" i="70"/>
  <c r="DX71" i="70"/>
  <c r="DY71" i="70"/>
  <c r="DZ71" i="70"/>
  <c r="EA71" i="70"/>
  <c r="EB71" i="70"/>
  <c r="EC71" i="70"/>
  <c r="ED71" i="70"/>
  <c r="EE71" i="70"/>
  <c r="EF71" i="70"/>
  <c r="EG71" i="70"/>
  <c r="EH71" i="70"/>
  <c r="EI71" i="70"/>
  <c r="EJ71" i="70"/>
  <c r="EK71" i="70"/>
  <c r="EL71" i="70"/>
  <c r="EM71" i="70"/>
  <c r="EN71" i="70"/>
  <c r="EO71" i="70"/>
  <c r="EP71" i="70"/>
  <c r="EQ71" i="70"/>
  <c r="ER71" i="70"/>
  <c r="ES71" i="70"/>
  <c r="ET71" i="70"/>
  <c r="EU71" i="70"/>
  <c r="EV71" i="70"/>
  <c r="EW71" i="70"/>
  <c r="EX71" i="70"/>
  <c r="EY71" i="70"/>
  <c r="EZ71" i="70"/>
  <c r="FA71" i="70"/>
  <c r="FB71" i="70"/>
  <c r="FC71" i="70"/>
  <c r="FD71" i="70"/>
  <c r="FE71" i="70"/>
  <c r="FF71" i="70"/>
  <c r="FG71" i="70"/>
  <c r="FH71" i="70"/>
  <c r="FI71" i="70"/>
  <c r="FJ71" i="70"/>
  <c r="FK71" i="70"/>
  <c r="FL71" i="70"/>
  <c r="FM71" i="70"/>
  <c r="FN71" i="70"/>
  <c r="FO71" i="70"/>
  <c r="FP71" i="70"/>
  <c r="FQ71" i="70"/>
  <c r="FR71" i="70"/>
  <c r="FS71" i="70"/>
  <c r="FT71" i="70"/>
  <c r="FU71" i="70"/>
  <c r="FV71" i="70"/>
  <c r="FW71" i="70"/>
  <c r="FX71" i="70"/>
  <c r="FY71" i="70"/>
  <c r="FZ71" i="70"/>
  <c r="GA71" i="70"/>
  <c r="GB71" i="70"/>
  <c r="GC71" i="70"/>
  <c r="U72" i="70"/>
  <c r="V72" i="70"/>
  <c r="X72" i="70"/>
  <c r="Y72" i="70"/>
  <c r="Z72" i="70"/>
  <c r="AA72" i="70"/>
  <c r="AI72" i="70"/>
  <c r="AJ72" i="70"/>
  <c r="AK72" i="70"/>
  <c r="AL72" i="70"/>
  <c r="AM72" i="70"/>
  <c r="AN72" i="70"/>
  <c r="AO72" i="70"/>
  <c r="AP72" i="70"/>
  <c r="AQ72" i="70"/>
  <c r="AR72" i="70"/>
  <c r="AS72" i="70"/>
  <c r="AT72" i="70"/>
  <c r="AU72" i="70"/>
  <c r="AV72" i="70"/>
  <c r="AW72" i="70"/>
  <c r="AX72" i="70"/>
  <c r="AY72" i="70"/>
  <c r="AZ72" i="70"/>
  <c r="BA72" i="70"/>
  <c r="BB72" i="70"/>
  <c r="BC72" i="70"/>
  <c r="BD72" i="70"/>
  <c r="BE72" i="70"/>
  <c r="BF72" i="70"/>
  <c r="BG72" i="70"/>
  <c r="BH72" i="70"/>
  <c r="BI72" i="70"/>
  <c r="BJ72" i="70"/>
  <c r="BK72" i="70"/>
  <c r="BL72" i="70"/>
  <c r="BM72" i="70"/>
  <c r="BN72" i="70"/>
  <c r="BO72" i="70"/>
  <c r="BP72" i="70"/>
  <c r="BQ72" i="70"/>
  <c r="BR72" i="70"/>
  <c r="BS72" i="70"/>
  <c r="BT72" i="70"/>
  <c r="BU72" i="70"/>
  <c r="BV72" i="70"/>
  <c r="BW72" i="70"/>
  <c r="BX72" i="70"/>
  <c r="BY72" i="70"/>
  <c r="BZ72" i="70"/>
  <c r="CA72" i="70"/>
  <c r="CB72" i="70"/>
  <c r="CC72" i="70"/>
  <c r="CD72" i="70"/>
  <c r="CE72" i="70"/>
  <c r="CF72" i="70"/>
  <c r="CG72" i="70"/>
  <c r="CH72" i="70"/>
  <c r="CI72" i="70"/>
  <c r="CJ72" i="70"/>
  <c r="CK72" i="70"/>
  <c r="CL72" i="70"/>
  <c r="CM72" i="70"/>
  <c r="CN72" i="70"/>
  <c r="CO72" i="70"/>
  <c r="CP72" i="70"/>
  <c r="CQ72" i="70"/>
  <c r="CR72" i="70"/>
  <c r="CS72" i="70"/>
  <c r="CT72" i="70"/>
  <c r="CU72" i="70"/>
  <c r="CV72" i="70"/>
  <c r="CW72" i="70"/>
  <c r="CX72" i="70"/>
  <c r="CY72" i="70"/>
  <c r="CZ72" i="70"/>
  <c r="DA72" i="70"/>
  <c r="DB72" i="70"/>
  <c r="DC72" i="70"/>
  <c r="DD72" i="70"/>
  <c r="DE72" i="70"/>
  <c r="DF72" i="70"/>
  <c r="DG72" i="70"/>
  <c r="DH72" i="70"/>
  <c r="DI72" i="70"/>
  <c r="DJ72" i="70"/>
  <c r="DK72" i="70"/>
  <c r="DL72" i="70"/>
  <c r="DM72" i="70"/>
  <c r="DN72" i="70"/>
  <c r="DO72" i="70"/>
  <c r="DP72" i="70"/>
  <c r="DQ72" i="70"/>
  <c r="DR72" i="70"/>
  <c r="DS72" i="70"/>
  <c r="DT72" i="70"/>
  <c r="DU72" i="70"/>
  <c r="DV72" i="70"/>
  <c r="DW72" i="70"/>
  <c r="DX72" i="70"/>
  <c r="DY72" i="70"/>
  <c r="DZ72" i="70"/>
  <c r="EA72" i="70"/>
  <c r="EB72" i="70"/>
  <c r="EC72" i="70"/>
  <c r="ED72" i="70"/>
  <c r="EE72" i="70"/>
  <c r="EF72" i="70"/>
  <c r="EG72" i="70"/>
  <c r="EH72" i="70"/>
  <c r="EI72" i="70"/>
  <c r="EJ72" i="70"/>
  <c r="EK72" i="70"/>
  <c r="EL72" i="70"/>
  <c r="EM72" i="70"/>
  <c r="EN72" i="70"/>
  <c r="EO72" i="70"/>
  <c r="EP72" i="70"/>
  <c r="EQ72" i="70"/>
  <c r="ER72" i="70"/>
  <c r="ES72" i="70"/>
  <c r="ET72" i="70"/>
  <c r="EU72" i="70"/>
  <c r="EV72" i="70"/>
  <c r="EW72" i="70"/>
  <c r="EX72" i="70"/>
  <c r="EY72" i="70"/>
  <c r="EZ72" i="70"/>
  <c r="FA72" i="70"/>
  <c r="FB72" i="70"/>
  <c r="FC72" i="70"/>
  <c r="FD72" i="70"/>
  <c r="FE72" i="70"/>
  <c r="FF72" i="70"/>
  <c r="FG72" i="70"/>
  <c r="FH72" i="70"/>
  <c r="FI72" i="70"/>
  <c r="FJ72" i="70"/>
  <c r="FK72" i="70"/>
  <c r="FL72" i="70"/>
  <c r="FM72" i="70"/>
  <c r="FN72" i="70"/>
  <c r="FO72" i="70"/>
  <c r="FP72" i="70"/>
  <c r="FQ72" i="70"/>
  <c r="FR72" i="70"/>
  <c r="FS72" i="70"/>
  <c r="FT72" i="70"/>
  <c r="FU72" i="70"/>
  <c r="FV72" i="70"/>
  <c r="FW72" i="70"/>
  <c r="FX72" i="70"/>
  <c r="FY72" i="70"/>
  <c r="FZ72" i="70"/>
  <c r="GA72" i="70"/>
  <c r="GB72" i="70"/>
  <c r="GC72" i="70"/>
  <c r="U73" i="70"/>
  <c r="V73" i="70"/>
  <c r="X73" i="70"/>
  <c r="Y73" i="70"/>
  <c r="Z73" i="70"/>
  <c r="AA73" i="70"/>
  <c r="AI73" i="70"/>
  <c r="AJ73" i="70"/>
  <c r="AK73" i="70"/>
  <c r="AL73" i="70"/>
  <c r="AM73" i="70"/>
  <c r="AN73" i="70"/>
  <c r="AO73" i="70"/>
  <c r="AP73" i="70"/>
  <c r="AQ73" i="70"/>
  <c r="AR73" i="70"/>
  <c r="AS73" i="70"/>
  <c r="AT73" i="70"/>
  <c r="AU73" i="70"/>
  <c r="AV73" i="70"/>
  <c r="AW73" i="70"/>
  <c r="AX73" i="70"/>
  <c r="AY73" i="70"/>
  <c r="AZ73" i="70"/>
  <c r="BA73" i="70"/>
  <c r="BB73" i="70"/>
  <c r="BC73" i="70"/>
  <c r="BD73" i="70"/>
  <c r="BE73" i="70"/>
  <c r="BF73" i="70"/>
  <c r="BG73" i="70"/>
  <c r="BH73" i="70"/>
  <c r="BI73" i="70"/>
  <c r="BJ73" i="70"/>
  <c r="BK73" i="70"/>
  <c r="BL73" i="70"/>
  <c r="BM73" i="70"/>
  <c r="BN73" i="70"/>
  <c r="BO73" i="70"/>
  <c r="BP73" i="70"/>
  <c r="BQ73" i="70"/>
  <c r="BR73" i="70"/>
  <c r="BS73" i="70"/>
  <c r="BT73" i="70"/>
  <c r="BU73" i="70"/>
  <c r="BV73" i="70"/>
  <c r="BW73" i="70"/>
  <c r="BX73" i="70"/>
  <c r="BY73" i="70"/>
  <c r="BZ73" i="70"/>
  <c r="CA73" i="70"/>
  <c r="CB73" i="70"/>
  <c r="CC73" i="70"/>
  <c r="CD73" i="70"/>
  <c r="CE73" i="70"/>
  <c r="CF73" i="70"/>
  <c r="CG73" i="70"/>
  <c r="CH73" i="70"/>
  <c r="CI73" i="70"/>
  <c r="CJ73" i="70"/>
  <c r="CK73" i="70"/>
  <c r="CL73" i="70"/>
  <c r="CM73" i="70"/>
  <c r="CN73" i="70"/>
  <c r="CO73" i="70"/>
  <c r="CP73" i="70"/>
  <c r="CQ73" i="70"/>
  <c r="CR73" i="70"/>
  <c r="CS73" i="70"/>
  <c r="CT73" i="70"/>
  <c r="CU73" i="70"/>
  <c r="CV73" i="70"/>
  <c r="CW73" i="70"/>
  <c r="CX73" i="70"/>
  <c r="CY73" i="70"/>
  <c r="CZ73" i="70"/>
  <c r="DA73" i="70"/>
  <c r="DB73" i="70"/>
  <c r="DC73" i="70"/>
  <c r="DD73" i="70"/>
  <c r="DE73" i="70"/>
  <c r="DF73" i="70"/>
  <c r="DG73" i="70"/>
  <c r="DH73" i="70"/>
  <c r="DI73" i="70"/>
  <c r="DJ73" i="70"/>
  <c r="DK73" i="70"/>
  <c r="DL73" i="70"/>
  <c r="DM73" i="70"/>
  <c r="DN73" i="70"/>
  <c r="DO73" i="70"/>
  <c r="DP73" i="70"/>
  <c r="DQ73" i="70"/>
  <c r="DR73" i="70"/>
  <c r="DS73" i="70"/>
  <c r="DT73" i="70"/>
  <c r="DU73" i="70"/>
  <c r="DV73" i="70"/>
  <c r="DW73" i="70"/>
  <c r="DX73" i="70"/>
  <c r="DY73" i="70"/>
  <c r="DZ73" i="70"/>
  <c r="EA73" i="70"/>
  <c r="EB73" i="70"/>
  <c r="EC73" i="70"/>
  <c r="ED73" i="70"/>
  <c r="EE73" i="70"/>
  <c r="EF73" i="70"/>
  <c r="EG73" i="70"/>
  <c r="EH73" i="70"/>
  <c r="EI73" i="70"/>
  <c r="EJ73" i="70"/>
  <c r="EK73" i="70"/>
  <c r="EL73" i="70"/>
  <c r="EM73" i="70"/>
  <c r="EN73" i="70"/>
  <c r="EO73" i="70"/>
  <c r="EP73" i="70"/>
  <c r="EQ73" i="70"/>
  <c r="ER73" i="70"/>
  <c r="ES73" i="70"/>
  <c r="ET73" i="70"/>
  <c r="EU73" i="70"/>
  <c r="EV73" i="70"/>
  <c r="EW73" i="70"/>
  <c r="EX73" i="70"/>
  <c r="EY73" i="70"/>
  <c r="EZ73" i="70"/>
  <c r="FA73" i="70"/>
  <c r="FB73" i="70"/>
  <c r="FC73" i="70"/>
  <c r="FD73" i="70"/>
  <c r="FE73" i="70"/>
  <c r="FF73" i="70"/>
  <c r="FG73" i="70"/>
  <c r="FH73" i="70"/>
  <c r="FI73" i="70"/>
  <c r="FJ73" i="70"/>
  <c r="FK73" i="70"/>
  <c r="FL73" i="70"/>
  <c r="FM73" i="70"/>
  <c r="FN73" i="70"/>
  <c r="FO73" i="70"/>
  <c r="FP73" i="70"/>
  <c r="FQ73" i="70"/>
  <c r="FR73" i="70"/>
  <c r="FS73" i="70"/>
  <c r="FT73" i="70"/>
  <c r="FU73" i="70"/>
  <c r="FV73" i="70"/>
  <c r="FW73" i="70"/>
  <c r="FX73" i="70"/>
  <c r="FY73" i="70"/>
  <c r="FZ73" i="70"/>
  <c r="GA73" i="70"/>
  <c r="GB73" i="70"/>
  <c r="GC73" i="70"/>
  <c r="U74" i="70"/>
  <c r="V74" i="70"/>
  <c r="X74" i="70"/>
  <c r="Y74" i="70"/>
  <c r="Z74" i="70"/>
  <c r="AA74" i="70"/>
  <c r="AI74" i="70"/>
  <c r="AJ74" i="70"/>
  <c r="AK74" i="70"/>
  <c r="AL74" i="70"/>
  <c r="AM74" i="70"/>
  <c r="AN74" i="70"/>
  <c r="AO74" i="70"/>
  <c r="AP74" i="70"/>
  <c r="AQ74" i="70"/>
  <c r="AR74" i="70"/>
  <c r="AS74" i="70"/>
  <c r="AT74" i="70"/>
  <c r="AU74" i="70"/>
  <c r="AV74" i="70"/>
  <c r="AW74" i="70"/>
  <c r="AX74" i="70"/>
  <c r="AY74" i="70"/>
  <c r="AZ74" i="70"/>
  <c r="BA74" i="70"/>
  <c r="BB74" i="70"/>
  <c r="BC74" i="70"/>
  <c r="BD74" i="70"/>
  <c r="BE74" i="70"/>
  <c r="BF74" i="70"/>
  <c r="BG74" i="70"/>
  <c r="BH74" i="70"/>
  <c r="BI74" i="70"/>
  <c r="BJ74" i="70"/>
  <c r="BK74" i="70"/>
  <c r="BL74" i="70"/>
  <c r="BM74" i="70"/>
  <c r="BN74" i="70"/>
  <c r="BO74" i="70"/>
  <c r="BP74" i="70"/>
  <c r="BQ74" i="70"/>
  <c r="BR74" i="70"/>
  <c r="BS74" i="70"/>
  <c r="BT74" i="70"/>
  <c r="BU74" i="70"/>
  <c r="BV74" i="70"/>
  <c r="BW74" i="70"/>
  <c r="BX74" i="70"/>
  <c r="BY74" i="70"/>
  <c r="BZ74" i="70"/>
  <c r="CA74" i="70"/>
  <c r="CB74" i="70"/>
  <c r="CC74" i="70"/>
  <c r="CD74" i="70"/>
  <c r="CE74" i="70"/>
  <c r="CF74" i="70"/>
  <c r="CG74" i="70"/>
  <c r="CH74" i="70"/>
  <c r="CI74" i="70"/>
  <c r="CJ74" i="70"/>
  <c r="CK74" i="70"/>
  <c r="CL74" i="70"/>
  <c r="CM74" i="70"/>
  <c r="CN74" i="70"/>
  <c r="CO74" i="70"/>
  <c r="CP74" i="70"/>
  <c r="CQ74" i="70"/>
  <c r="CR74" i="70"/>
  <c r="CS74" i="70"/>
  <c r="CT74" i="70"/>
  <c r="CU74" i="70"/>
  <c r="CV74" i="70"/>
  <c r="CW74" i="70"/>
  <c r="CX74" i="70"/>
  <c r="CY74" i="70"/>
  <c r="CZ74" i="70"/>
  <c r="DA74" i="70"/>
  <c r="DB74" i="70"/>
  <c r="DC74" i="70"/>
  <c r="DD74" i="70"/>
  <c r="DE74" i="70"/>
  <c r="DF74" i="70"/>
  <c r="DG74" i="70"/>
  <c r="DH74" i="70"/>
  <c r="DI74" i="70"/>
  <c r="DJ74" i="70"/>
  <c r="DK74" i="70"/>
  <c r="DL74" i="70"/>
  <c r="DM74" i="70"/>
  <c r="DN74" i="70"/>
  <c r="DO74" i="70"/>
  <c r="DP74" i="70"/>
  <c r="DQ74" i="70"/>
  <c r="DR74" i="70"/>
  <c r="DS74" i="70"/>
  <c r="DT74" i="70"/>
  <c r="DU74" i="70"/>
  <c r="DV74" i="70"/>
  <c r="DW74" i="70"/>
  <c r="DX74" i="70"/>
  <c r="DY74" i="70"/>
  <c r="DZ74" i="70"/>
  <c r="EA74" i="70"/>
  <c r="EB74" i="70"/>
  <c r="EC74" i="70"/>
  <c r="ED74" i="70"/>
  <c r="EE74" i="70"/>
  <c r="EF74" i="70"/>
  <c r="EG74" i="70"/>
  <c r="EH74" i="70"/>
  <c r="EI74" i="70"/>
  <c r="EJ74" i="70"/>
  <c r="EK74" i="70"/>
  <c r="EL74" i="70"/>
  <c r="EM74" i="70"/>
  <c r="EN74" i="70"/>
  <c r="EO74" i="70"/>
  <c r="EP74" i="70"/>
  <c r="EQ74" i="70"/>
  <c r="ER74" i="70"/>
  <c r="ES74" i="70"/>
  <c r="ET74" i="70"/>
  <c r="EU74" i="70"/>
  <c r="EV74" i="70"/>
  <c r="EW74" i="70"/>
  <c r="EX74" i="70"/>
  <c r="EY74" i="70"/>
  <c r="EZ74" i="70"/>
  <c r="FA74" i="70"/>
  <c r="FB74" i="70"/>
  <c r="FC74" i="70"/>
  <c r="FD74" i="70"/>
  <c r="FE74" i="70"/>
  <c r="FF74" i="70"/>
  <c r="FG74" i="70"/>
  <c r="FH74" i="70"/>
  <c r="FI74" i="70"/>
  <c r="FJ74" i="70"/>
  <c r="FK74" i="70"/>
  <c r="FL74" i="70"/>
  <c r="FM74" i="70"/>
  <c r="FN74" i="70"/>
  <c r="FO74" i="70"/>
  <c r="FP74" i="70"/>
  <c r="FQ74" i="70"/>
  <c r="FR74" i="70"/>
  <c r="FS74" i="70"/>
  <c r="FT74" i="70"/>
  <c r="FU74" i="70"/>
  <c r="FV74" i="70"/>
  <c r="FW74" i="70"/>
  <c r="FX74" i="70"/>
  <c r="FY74" i="70"/>
  <c r="FZ74" i="70"/>
  <c r="GA74" i="70"/>
  <c r="GB74" i="70"/>
  <c r="GC74" i="70"/>
  <c r="U75" i="70"/>
  <c r="V75" i="70"/>
  <c r="X75" i="70"/>
  <c r="Y75" i="70"/>
  <c r="Z75" i="70"/>
  <c r="AA75" i="70"/>
  <c r="AI75" i="70"/>
  <c r="AJ75" i="70"/>
  <c r="AK75" i="70"/>
  <c r="AL75" i="70"/>
  <c r="AM75" i="70"/>
  <c r="AN75" i="70"/>
  <c r="AO75" i="70"/>
  <c r="AP75" i="70"/>
  <c r="AQ75" i="70"/>
  <c r="AR75" i="70"/>
  <c r="AS75" i="70"/>
  <c r="AT75" i="70"/>
  <c r="AU75" i="70"/>
  <c r="AV75" i="70"/>
  <c r="AW75" i="70"/>
  <c r="AX75" i="70"/>
  <c r="AY75" i="70"/>
  <c r="AZ75" i="70"/>
  <c r="BA75" i="70"/>
  <c r="BB75" i="70"/>
  <c r="BC75" i="70"/>
  <c r="BD75" i="70"/>
  <c r="BE75" i="70"/>
  <c r="BF75" i="70"/>
  <c r="BG75" i="70"/>
  <c r="BH75" i="70"/>
  <c r="BI75" i="70"/>
  <c r="BJ75" i="70"/>
  <c r="BK75" i="70"/>
  <c r="BL75" i="70"/>
  <c r="BM75" i="70"/>
  <c r="BN75" i="70"/>
  <c r="BO75" i="70"/>
  <c r="BP75" i="70"/>
  <c r="BQ75" i="70"/>
  <c r="BR75" i="70"/>
  <c r="BS75" i="70"/>
  <c r="BT75" i="70"/>
  <c r="BU75" i="70"/>
  <c r="BV75" i="70"/>
  <c r="BW75" i="70"/>
  <c r="BX75" i="70"/>
  <c r="BY75" i="70"/>
  <c r="BZ75" i="70"/>
  <c r="CA75" i="70"/>
  <c r="CB75" i="70"/>
  <c r="CC75" i="70"/>
  <c r="CD75" i="70"/>
  <c r="CE75" i="70"/>
  <c r="CF75" i="70"/>
  <c r="CG75" i="70"/>
  <c r="CH75" i="70"/>
  <c r="CI75" i="70"/>
  <c r="CJ75" i="70"/>
  <c r="CK75" i="70"/>
  <c r="CL75" i="70"/>
  <c r="CM75" i="70"/>
  <c r="CN75" i="70"/>
  <c r="CO75" i="70"/>
  <c r="CP75" i="70"/>
  <c r="CQ75" i="70"/>
  <c r="CR75" i="70"/>
  <c r="CS75" i="70"/>
  <c r="CT75" i="70"/>
  <c r="CU75" i="70"/>
  <c r="CV75" i="70"/>
  <c r="CW75" i="70"/>
  <c r="CX75" i="70"/>
  <c r="CY75" i="70"/>
  <c r="CZ75" i="70"/>
  <c r="DA75" i="70"/>
  <c r="DB75" i="70"/>
  <c r="DC75" i="70"/>
  <c r="DD75" i="70"/>
  <c r="DE75" i="70"/>
  <c r="DF75" i="70"/>
  <c r="DG75" i="70"/>
  <c r="DH75" i="70"/>
  <c r="DI75" i="70"/>
  <c r="DJ75" i="70"/>
  <c r="DK75" i="70"/>
  <c r="DL75" i="70"/>
  <c r="DM75" i="70"/>
  <c r="DN75" i="70"/>
  <c r="DO75" i="70"/>
  <c r="DP75" i="70"/>
  <c r="DQ75" i="70"/>
  <c r="DR75" i="70"/>
  <c r="DS75" i="70"/>
  <c r="DT75" i="70"/>
  <c r="DU75" i="70"/>
  <c r="DV75" i="70"/>
  <c r="DW75" i="70"/>
  <c r="DX75" i="70"/>
  <c r="DY75" i="70"/>
  <c r="DZ75" i="70"/>
  <c r="EA75" i="70"/>
  <c r="EB75" i="70"/>
  <c r="EC75" i="70"/>
  <c r="ED75" i="70"/>
  <c r="EE75" i="70"/>
  <c r="EF75" i="70"/>
  <c r="EG75" i="70"/>
  <c r="EH75" i="70"/>
  <c r="EI75" i="70"/>
  <c r="EJ75" i="70"/>
  <c r="EK75" i="70"/>
  <c r="EL75" i="70"/>
  <c r="EM75" i="70"/>
  <c r="EN75" i="70"/>
  <c r="EO75" i="70"/>
  <c r="EP75" i="70"/>
  <c r="EQ75" i="70"/>
  <c r="ER75" i="70"/>
  <c r="ES75" i="70"/>
  <c r="ET75" i="70"/>
  <c r="EU75" i="70"/>
  <c r="EV75" i="70"/>
  <c r="EW75" i="70"/>
  <c r="EX75" i="70"/>
  <c r="EY75" i="70"/>
  <c r="EZ75" i="70"/>
  <c r="FA75" i="70"/>
  <c r="FB75" i="70"/>
  <c r="FC75" i="70"/>
  <c r="FD75" i="70"/>
  <c r="FE75" i="70"/>
  <c r="FF75" i="70"/>
  <c r="FG75" i="70"/>
  <c r="FH75" i="70"/>
  <c r="FI75" i="70"/>
  <c r="FJ75" i="70"/>
  <c r="FK75" i="70"/>
  <c r="FL75" i="70"/>
  <c r="FM75" i="70"/>
  <c r="FN75" i="70"/>
  <c r="FO75" i="70"/>
  <c r="FP75" i="70"/>
  <c r="FQ75" i="70"/>
  <c r="FR75" i="70"/>
  <c r="FS75" i="70"/>
  <c r="FT75" i="70"/>
  <c r="FU75" i="70"/>
  <c r="FV75" i="70"/>
  <c r="FW75" i="70"/>
  <c r="FX75" i="70"/>
  <c r="FY75" i="70"/>
  <c r="FZ75" i="70"/>
  <c r="GA75" i="70"/>
  <c r="GB75" i="70"/>
  <c r="GC75" i="70"/>
  <c r="U76" i="70"/>
  <c r="V76" i="70"/>
  <c r="X76" i="70"/>
  <c r="Y76" i="70"/>
  <c r="Z76" i="70"/>
  <c r="AA76" i="70"/>
  <c r="AI76" i="70"/>
  <c r="AJ76" i="70"/>
  <c r="AK76" i="70"/>
  <c r="AL76" i="70"/>
  <c r="AM76" i="70"/>
  <c r="AN76" i="70"/>
  <c r="AO76" i="70"/>
  <c r="AP76" i="70"/>
  <c r="AQ76" i="70"/>
  <c r="AR76" i="70"/>
  <c r="AS76" i="70"/>
  <c r="AT76" i="70"/>
  <c r="AU76" i="70"/>
  <c r="AV76" i="70"/>
  <c r="AW76" i="70"/>
  <c r="AX76" i="70"/>
  <c r="AY76" i="70"/>
  <c r="AZ76" i="70"/>
  <c r="BA76" i="70"/>
  <c r="BB76" i="70"/>
  <c r="BC76" i="70"/>
  <c r="BD76" i="70"/>
  <c r="BE76" i="70"/>
  <c r="BF76" i="70"/>
  <c r="BG76" i="70"/>
  <c r="BH76" i="70"/>
  <c r="BI76" i="70"/>
  <c r="BJ76" i="70"/>
  <c r="BK76" i="70"/>
  <c r="BL76" i="70"/>
  <c r="BM76" i="70"/>
  <c r="BN76" i="70"/>
  <c r="BO76" i="70"/>
  <c r="BP76" i="70"/>
  <c r="BQ76" i="70"/>
  <c r="BR76" i="70"/>
  <c r="BS76" i="70"/>
  <c r="BT76" i="70"/>
  <c r="BU76" i="70"/>
  <c r="BV76" i="70"/>
  <c r="BW76" i="70"/>
  <c r="BX76" i="70"/>
  <c r="BY76" i="70"/>
  <c r="BZ76" i="70"/>
  <c r="CA76" i="70"/>
  <c r="CB76" i="70"/>
  <c r="CC76" i="70"/>
  <c r="CD76" i="70"/>
  <c r="CE76" i="70"/>
  <c r="CF76" i="70"/>
  <c r="CG76" i="70"/>
  <c r="CH76" i="70"/>
  <c r="CI76" i="70"/>
  <c r="CJ76" i="70"/>
  <c r="CK76" i="70"/>
  <c r="CL76" i="70"/>
  <c r="CM76" i="70"/>
  <c r="CN76" i="70"/>
  <c r="CO76" i="70"/>
  <c r="CP76" i="70"/>
  <c r="CQ76" i="70"/>
  <c r="CR76" i="70"/>
  <c r="CS76" i="70"/>
  <c r="CT76" i="70"/>
  <c r="CU76" i="70"/>
  <c r="CV76" i="70"/>
  <c r="CW76" i="70"/>
  <c r="CX76" i="70"/>
  <c r="CY76" i="70"/>
  <c r="CZ76" i="70"/>
  <c r="DA76" i="70"/>
  <c r="DB76" i="70"/>
  <c r="DC76" i="70"/>
  <c r="DD76" i="70"/>
  <c r="DE76" i="70"/>
  <c r="DF76" i="70"/>
  <c r="DG76" i="70"/>
  <c r="DH76" i="70"/>
  <c r="DI76" i="70"/>
  <c r="DJ76" i="70"/>
  <c r="DK76" i="70"/>
  <c r="DL76" i="70"/>
  <c r="DM76" i="70"/>
  <c r="DN76" i="70"/>
  <c r="DO76" i="70"/>
  <c r="DP76" i="70"/>
  <c r="DQ76" i="70"/>
  <c r="DR76" i="70"/>
  <c r="DS76" i="70"/>
  <c r="DT76" i="70"/>
  <c r="DU76" i="70"/>
  <c r="DV76" i="70"/>
  <c r="DW76" i="70"/>
  <c r="DX76" i="70"/>
  <c r="DY76" i="70"/>
  <c r="DZ76" i="70"/>
  <c r="EA76" i="70"/>
  <c r="EB76" i="70"/>
  <c r="EC76" i="70"/>
  <c r="ED76" i="70"/>
  <c r="EE76" i="70"/>
  <c r="EF76" i="70"/>
  <c r="EG76" i="70"/>
  <c r="EH76" i="70"/>
  <c r="EI76" i="70"/>
  <c r="EJ76" i="70"/>
  <c r="EK76" i="70"/>
  <c r="EL76" i="70"/>
  <c r="EM76" i="70"/>
  <c r="EN76" i="70"/>
  <c r="EO76" i="70"/>
  <c r="EP76" i="70"/>
  <c r="EQ76" i="70"/>
  <c r="ER76" i="70"/>
  <c r="ES76" i="70"/>
  <c r="ET76" i="70"/>
  <c r="EU76" i="70"/>
  <c r="EV76" i="70"/>
  <c r="EW76" i="70"/>
  <c r="EX76" i="70"/>
  <c r="EY76" i="70"/>
  <c r="EZ76" i="70"/>
  <c r="FA76" i="70"/>
  <c r="FB76" i="70"/>
  <c r="FC76" i="70"/>
  <c r="FD76" i="70"/>
  <c r="FE76" i="70"/>
  <c r="FF76" i="70"/>
  <c r="FG76" i="70"/>
  <c r="FH76" i="70"/>
  <c r="FI76" i="70"/>
  <c r="FJ76" i="70"/>
  <c r="FK76" i="70"/>
  <c r="FL76" i="70"/>
  <c r="FM76" i="70"/>
  <c r="FN76" i="70"/>
  <c r="FO76" i="70"/>
  <c r="FP76" i="70"/>
  <c r="FQ76" i="70"/>
  <c r="FR76" i="70"/>
  <c r="FS76" i="70"/>
  <c r="FT76" i="70"/>
  <c r="FU76" i="70"/>
  <c r="FV76" i="70"/>
  <c r="FW76" i="70"/>
  <c r="FX76" i="70"/>
  <c r="FY76" i="70"/>
  <c r="FZ76" i="70"/>
  <c r="GA76" i="70"/>
  <c r="GB76" i="70"/>
  <c r="GC76" i="70"/>
  <c r="U77" i="70"/>
  <c r="V77" i="70"/>
  <c r="X77" i="70"/>
  <c r="Y77" i="70"/>
  <c r="Z77" i="70"/>
  <c r="AA77" i="70"/>
  <c r="U78" i="70"/>
  <c r="V78" i="70"/>
  <c r="X78" i="70"/>
  <c r="Y78" i="70"/>
  <c r="Z78" i="70"/>
  <c r="AA78" i="70"/>
  <c r="U79" i="70"/>
  <c r="V79" i="70"/>
  <c r="X79" i="70"/>
  <c r="Y79" i="70"/>
  <c r="Z79" i="70"/>
  <c r="AA79" i="70"/>
  <c r="U80" i="70"/>
  <c r="V80" i="70"/>
  <c r="X80" i="70"/>
  <c r="Y80" i="70"/>
  <c r="Z80" i="70"/>
  <c r="AA80" i="70"/>
  <c r="U81" i="70"/>
  <c r="V81" i="70"/>
  <c r="X81" i="70"/>
  <c r="Y81" i="70"/>
  <c r="Z81" i="70"/>
  <c r="AA81" i="70"/>
  <c r="AI81" i="70"/>
  <c r="AJ81" i="70"/>
  <c r="AK81" i="70"/>
  <c r="AL81" i="70"/>
  <c r="AM81" i="70"/>
  <c r="AN81" i="70"/>
  <c r="AO81" i="70"/>
  <c r="AP81" i="70"/>
  <c r="AQ81" i="70"/>
  <c r="AR81" i="70"/>
  <c r="AS81" i="70"/>
  <c r="AT81" i="70"/>
  <c r="AU81" i="70"/>
  <c r="AV81" i="70"/>
  <c r="AW81" i="70"/>
  <c r="AX81" i="70"/>
  <c r="AY81" i="70"/>
  <c r="AZ81" i="70"/>
  <c r="BA81" i="70"/>
  <c r="BB81" i="70"/>
  <c r="BC81" i="70"/>
  <c r="BD81" i="70"/>
  <c r="BE81" i="70"/>
  <c r="BF81" i="70"/>
  <c r="BG81" i="70"/>
  <c r="BH81" i="70"/>
  <c r="BI81" i="70"/>
  <c r="BJ81" i="70"/>
  <c r="BK81" i="70"/>
  <c r="BL81" i="70"/>
  <c r="BM81" i="70"/>
  <c r="BN81" i="70"/>
  <c r="BO81" i="70"/>
  <c r="BP81" i="70"/>
  <c r="BQ81" i="70"/>
  <c r="BR81" i="70"/>
  <c r="BS81" i="70"/>
  <c r="BT81" i="70"/>
  <c r="BU81" i="70"/>
  <c r="BV81" i="70"/>
  <c r="BW81" i="70"/>
  <c r="BX81" i="70"/>
  <c r="BY81" i="70"/>
  <c r="BZ81" i="70"/>
  <c r="CA81" i="70"/>
  <c r="CB81" i="70"/>
  <c r="CC81" i="70"/>
  <c r="CD81" i="70"/>
  <c r="CE81" i="70"/>
  <c r="CF81" i="70"/>
  <c r="CG81" i="70"/>
  <c r="CH81" i="70"/>
  <c r="CI81" i="70"/>
  <c r="CJ81" i="70"/>
  <c r="CK81" i="70"/>
  <c r="CL81" i="70"/>
  <c r="CM81" i="70"/>
  <c r="CN81" i="70"/>
  <c r="CO81" i="70"/>
  <c r="CP81" i="70"/>
  <c r="CQ81" i="70"/>
  <c r="CR81" i="70"/>
  <c r="CS81" i="70"/>
  <c r="CT81" i="70"/>
  <c r="CU81" i="70"/>
  <c r="CV81" i="70"/>
  <c r="CW81" i="70"/>
  <c r="CX81" i="70"/>
  <c r="CY81" i="70"/>
  <c r="CZ81" i="70"/>
  <c r="DA81" i="70"/>
  <c r="DB81" i="70"/>
  <c r="DC81" i="70"/>
  <c r="DD81" i="70"/>
  <c r="DE81" i="70"/>
  <c r="DF81" i="70"/>
  <c r="DG81" i="70"/>
  <c r="DH81" i="70"/>
  <c r="DI81" i="70"/>
  <c r="DJ81" i="70"/>
  <c r="DK81" i="70"/>
  <c r="DL81" i="70"/>
  <c r="DM81" i="70"/>
  <c r="DN81" i="70"/>
  <c r="DO81" i="70"/>
  <c r="DP81" i="70"/>
  <c r="DQ81" i="70"/>
  <c r="DR81" i="70"/>
  <c r="DS81" i="70"/>
  <c r="DT81" i="70"/>
  <c r="DU81" i="70"/>
  <c r="DV81" i="70"/>
  <c r="DW81" i="70"/>
  <c r="DX81" i="70"/>
  <c r="DY81" i="70"/>
  <c r="DZ81" i="70"/>
  <c r="EA81" i="70"/>
  <c r="EB81" i="70"/>
  <c r="EC81" i="70"/>
  <c r="ED81" i="70"/>
  <c r="EE81" i="70"/>
  <c r="EF81" i="70"/>
  <c r="EG81" i="70"/>
  <c r="EH81" i="70"/>
  <c r="EI81" i="70"/>
  <c r="EJ81" i="70"/>
  <c r="EK81" i="70"/>
  <c r="EL81" i="70"/>
  <c r="EM81" i="70"/>
  <c r="EN81" i="70"/>
  <c r="EO81" i="70"/>
  <c r="EP81" i="70"/>
  <c r="EQ81" i="70"/>
  <c r="ER81" i="70"/>
  <c r="ES81" i="70"/>
  <c r="ET81" i="70"/>
  <c r="EU81" i="70"/>
  <c r="EV81" i="70"/>
  <c r="EW81" i="70"/>
  <c r="EX81" i="70"/>
  <c r="EY81" i="70"/>
  <c r="EZ81" i="70"/>
  <c r="FA81" i="70"/>
  <c r="FB81" i="70"/>
  <c r="FC81" i="70"/>
  <c r="FD81" i="70"/>
  <c r="FE81" i="70"/>
  <c r="FF81" i="70"/>
  <c r="FG81" i="70"/>
  <c r="FH81" i="70"/>
  <c r="FI81" i="70"/>
  <c r="FJ81" i="70"/>
  <c r="FK81" i="70"/>
  <c r="FL81" i="70"/>
  <c r="FM81" i="70"/>
  <c r="FN81" i="70"/>
  <c r="FO81" i="70"/>
  <c r="FP81" i="70"/>
  <c r="FQ81" i="70"/>
  <c r="FR81" i="70"/>
  <c r="FS81" i="70"/>
  <c r="FT81" i="70"/>
  <c r="FU81" i="70"/>
  <c r="FV81" i="70"/>
  <c r="FW81" i="70"/>
  <c r="FX81" i="70"/>
  <c r="FY81" i="70"/>
  <c r="FZ81" i="70"/>
  <c r="GA81" i="70"/>
  <c r="GB81" i="70"/>
  <c r="GC81" i="70"/>
  <c r="U82" i="70"/>
  <c r="V82" i="70"/>
  <c r="X82" i="70"/>
  <c r="Y82" i="70"/>
  <c r="Z82" i="70"/>
  <c r="AA82" i="70"/>
  <c r="AI82" i="70"/>
  <c r="AJ82" i="70"/>
  <c r="AK82" i="70"/>
  <c r="AL82" i="70"/>
  <c r="AM82" i="70"/>
  <c r="AN82" i="70"/>
  <c r="AO82" i="70"/>
  <c r="AP82" i="70"/>
  <c r="AQ82" i="70"/>
  <c r="AR82" i="70"/>
  <c r="AS82" i="70"/>
  <c r="AT82" i="70"/>
  <c r="AU82" i="70"/>
  <c r="AV82" i="70"/>
  <c r="AW82" i="70"/>
  <c r="AX82" i="70"/>
  <c r="AY82" i="70"/>
  <c r="AZ82" i="70"/>
  <c r="BA82" i="70"/>
  <c r="BB82" i="70"/>
  <c r="BC82" i="70"/>
  <c r="BD82" i="70"/>
  <c r="BE82" i="70"/>
  <c r="BF82" i="70"/>
  <c r="BG82" i="70"/>
  <c r="BH82" i="70"/>
  <c r="BI82" i="70"/>
  <c r="BJ82" i="70"/>
  <c r="BK82" i="70"/>
  <c r="BL82" i="70"/>
  <c r="BM82" i="70"/>
  <c r="BN82" i="70"/>
  <c r="BO82" i="70"/>
  <c r="BP82" i="70"/>
  <c r="BQ82" i="70"/>
  <c r="BR82" i="70"/>
  <c r="BS82" i="70"/>
  <c r="BT82" i="70"/>
  <c r="BU82" i="70"/>
  <c r="BV82" i="70"/>
  <c r="BW82" i="70"/>
  <c r="BX82" i="70"/>
  <c r="BY82" i="70"/>
  <c r="BZ82" i="70"/>
  <c r="CA82" i="70"/>
  <c r="CB82" i="70"/>
  <c r="CC82" i="70"/>
  <c r="CD82" i="70"/>
  <c r="CE82" i="70"/>
  <c r="CF82" i="70"/>
  <c r="CG82" i="70"/>
  <c r="CH82" i="70"/>
  <c r="CI82" i="70"/>
  <c r="CJ82" i="70"/>
  <c r="CK82" i="70"/>
  <c r="CL82" i="70"/>
  <c r="CM82" i="70"/>
  <c r="CN82" i="70"/>
  <c r="CO82" i="70"/>
  <c r="CP82" i="70"/>
  <c r="CQ82" i="70"/>
  <c r="CR82" i="70"/>
  <c r="CS82" i="70"/>
  <c r="CT82" i="70"/>
  <c r="CU82" i="70"/>
  <c r="CV82" i="70"/>
  <c r="CW82" i="70"/>
  <c r="CX82" i="70"/>
  <c r="CY82" i="70"/>
  <c r="CZ82" i="70"/>
  <c r="DA82" i="70"/>
  <c r="DB82" i="70"/>
  <c r="DC82" i="70"/>
  <c r="DD82" i="70"/>
  <c r="DE82" i="70"/>
  <c r="DF82" i="70"/>
  <c r="DG82" i="70"/>
  <c r="DH82" i="70"/>
  <c r="DI82" i="70"/>
  <c r="DJ82" i="70"/>
  <c r="DK82" i="70"/>
  <c r="DL82" i="70"/>
  <c r="DM82" i="70"/>
  <c r="DN82" i="70"/>
  <c r="DO82" i="70"/>
  <c r="DP82" i="70"/>
  <c r="DQ82" i="70"/>
  <c r="DR82" i="70"/>
  <c r="DS82" i="70"/>
  <c r="DT82" i="70"/>
  <c r="DU82" i="70"/>
  <c r="DV82" i="70"/>
  <c r="DW82" i="70"/>
  <c r="DX82" i="70"/>
  <c r="DY82" i="70"/>
  <c r="DZ82" i="70"/>
  <c r="EA82" i="70"/>
  <c r="EB82" i="70"/>
  <c r="EC82" i="70"/>
  <c r="ED82" i="70"/>
  <c r="EE82" i="70"/>
  <c r="EF82" i="70"/>
  <c r="EG82" i="70"/>
  <c r="EH82" i="70"/>
  <c r="EI82" i="70"/>
  <c r="EJ82" i="70"/>
  <c r="EK82" i="70"/>
  <c r="EL82" i="70"/>
  <c r="EM82" i="70"/>
  <c r="EN82" i="70"/>
  <c r="EO82" i="70"/>
  <c r="EP82" i="70"/>
  <c r="EQ82" i="70"/>
  <c r="ER82" i="70"/>
  <c r="ES82" i="70"/>
  <c r="ET82" i="70"/>
  <c r="EU82" i="70"/>
  <c r="EV82" i="70"/>
  <c r="EW82" i="70"/>
  <c r="EX82" i="70"/>
  <c r="EY82" i="70"/>
  <c r="EZ82" i="70"/>
  <c r="FA82" i="70"/>
  <c r="FB82" i="70"/>
  <c r="FC82" i="70"/>
  <c r="FD82" i="70"/>
  <c r="FE82" i="70"/>
  <c r="FF82" i="70"/>
  <c r="FG82" i="70"/>
  <c r="FH82" i="70"/>
  <c r="FI82" i="70"/>
  <c r="FJ82" i="70"/>
  <c r="FK82" i="70"/>
  <c r="FL82" i="70"/>
  <c r="FM82" i="70"/>
  <c r="FN82" i="70"/>
  <c r="FO82" i="70"/>
  <c r="FP82" i="70"/>
  <c r="FQ82" i="70"/>
  <c r="FR82" i="70"/>
  <c r="FS82" i="70"/>
  <c r="FT82" i="70"/>
  <c r="FU82" i="70"/>
  <c r="FV82" i="70"/>
  <c r="FW82" i="70"/>
  <c r="FX82" i="70"/>
  <c r="FY82" i="70"/>
  <c r="FZ82" i="70"/>
  <c r="GA82" i="70"/>
  <c r="GB82" i="70"/>
  <c r="GC82" i="70"/>
  <c r="U83" i="70"/>
  <c r="V83" i="70"/>
  <c r="X83" i="70"/>
  <c r="Y83" i="70"/>
  <c r="Z83" i="70"/>
  <c r="AA83" i="70"/>
  <c r="AI83" i="70"/>
  <c r="AJ83" i="70"/>
  <c r="AK83" i="70"/>
  <c r="AL83" i="70"/>
  <c r="AM83" i="70"/>
  <c r="AN83" i="70"/>
  <c r="AO83" i="70"/>
  <c r="AP83" i="70"/>
  <c r="AQ83" i="70"/>
  <c r="AR83" i="70"/>
  <c r="AS83" i="70"/>
  <c r="AT83" i="70"/>
  <c r="AU83" i="70"/>
  <c r="AV83" i="70"/>
  <c r="AW83" i="70"/>
  <c r="AX83" i="70"/>
  <c r="AY83" i="70"/>
  <c r="AZ83" i="70"/>
  <c r="BA83" i="70"/>
  <c r="BB83" i="70"/>
  <c r="BC83" i="70"/>
  <c r="BD83" i="70"/>
  <c r="BE83" i="70"/>
  <c r="BF83" i="70"/>
  <c r="BG83" i="70"/>
  <c r="BH83" i="70"/>
  <c r="BI83" i="70"/>
  <c r="BJ83" i="70"/>
  <c r="BK83" i="70"/>
  <c r="BL83" i="70"/>
  <c r="BM83" i="70"/>
  <c r="BN83" i="70"/>
  <c r="BO83" i="70"/>
  <c r="BP83" i="70"/>
  <c r="BQ83" i="70"/>
  <c r="BR83" i="70"/>
  <c r="BS83" i="70"/>
  <c r="BT83" i="70"/>
  <c r="BU83" i="70"/>
  <c r="BV83" i="70"/>
  <c r="BW83" i="70"/>
  <c r="BX83" i="70"/>
  <c r="BY83" i="70"/>
  <c r="BZ83" i="70"/>
  <c r="CA83" i="70"/>
  <c r="CB83" i="70"/>
  <c r="CC83" i="70"/>
  <c r="CD83" i="70"/>
  <c r="CE83" i="70"/>
  <c r="CF83" i="70"/>
  <c r="CG83" i="70"/>
  <c r="CH83" i="70"/>
  <c r="CI83" i="70"/>
  <c r="CJ83" i="70"/>
  <c r="CK83" i="70"/>
  <c r="CL83" i="70"/>
  <c r="CM83" i="70"/>
  <c r="CN83" i="70"/>
  <c r="CO83" i="70"/>
  <c r="CP83" i="70"/>
  <c r="CQ83" i="70"/>
  <c r="CR83" i="70"/>
  <c r="CS83" i="70"/>
  <c r="CT83" i="70"/>
  <c r="CU83" i="70"/>
  <c r="CV83" i="70"/>
  <c r="CW83" i="70"/>
  <c r="CX83" i="70"/>
  <c r="CY83" i="70"/>
  <c r="CZ83" i="70"/>
  <c r="DA83" i="70"/>
  <c r="DB83" i="70"/>
  <c r="DC83" i="70"/>
  <c r="DD83" i="70"/>
  <c r="DE83" i="70"/>
  <c r="DF83" i="70"/>
  <c r="DG83" i="70"/>
  <c r="DH83" i="70"/>
  <c r="DI83" i="70"/>
  <c r="DJ83" i="70"/>
  <c r="DK83" i="70"/>
  <c r="DL83" i="70"/>
  <c r="DM83" i="70"/>
  <c r="DN83" i="70"/>
  <c r="DO83" i="70"/>
  <c r="DP83" i="70"/>
  <c r="DQ83" i="70"/>
  <c r="DR83" i="70"/>
  <c r="DS83" i="70"/>
  <c r="DT83" i="70"/>
  <c r="DU83" i="70"/>
  <c r="DV83" i="70"/>
  <c r="DW83" i="70"/>
  <c r="DX83" i="70"/>
  <c r="DY83" i="70"/>
  <c r="DZ83" i="70"/>
  <c r="EA83" i="70"/>
  <c r="EB83" i="70"/>
  <c r="EC83" i="70"/>
  <c r="ED83" i="70"/>
  <c r="EE83" i="70"/>
  <c r="EF83" i="70"/>
  <c r="EG83" i="70"/>
  <c r="EH83" i="70"/>
  <c r="EI83" i="70"/>
  <c r="EJ83" i="70"/>
  <c r="EK83" i="70"/>
  <c r="EL83" i="70"/>
  <c r="EM83" i="70"/>
  <c r="EN83" i="70"/>
  <c r="EO83" i="70"/>
  <c r="EP83" i="70"/>
  <c r="EQ83" i="70"/>
  <c r="ER83" i="70"/>
  <c r="ES83" i="70"/>
  <c r="ET83" i="70"/>
  <c r="EU83" i="70"/>
  <c r="EV83" i="70"/>
  <c r="EW83" i="70"/>
  <c r="EX83" i="70"/>
  <c r="EY83" i="70"/>
  <c r="EZ83" i="70"/>
  <c r="FA83" i="70"/>
  <c r="FB83" i="70"/>
  <c r="FC83" i="70"/>
  <c r="FD83" i="70"/>
  <c r="FE83" i="70"/>
  <c r="FF83" i="70"/>
  <c r="FG83" i="70"/>
  <c r="FH83" i="70"/>
  <c r="FI83" i="70"/>
  <c r="FJ83" i="70"/>
  <c r="FK83" i="70"/>
  <c r="FL83" i="70"/>
  <c r="FM83" i="70"/>
  <c r="FN83" i="70"/>
  <c r="FO83" i="70"/>
  <c r="FP83" i="70"/>
  <c r="FQ83" i="70"/>
  <c r="FR83" i="70"/>
  <c r="FS83" i="70"/>
  <c r="FT83" i="70"/>
  <c r="FU83" i="70"/>
  <c r="FV83" i="70"/>
  <c r="FW83" i="70"/>
  <c r="FX83" i="70"/>
  <c r="FY83" i="70"/>
  <c r="FZ83" i="70"/>
  <c r="GA83" i="70"/>
  <c r="GB83" i="70"/>
  <c r="GC83" i="70"/>
  <c r="U84" i="70"/>
  <c r="V84" i="70"/>
  <c r="X84" i="70"/>
  <c r="Y84" i="70"/>
  <c r="Z84" i="70"/>
  <c r="AA84" i="70"/>
  <c r="AI84" i="70"/>
  <c r="AJ84" i="70"/>
  <c r="AK84" i="70"/>
  <c r="AL84" i="70"/>
  <c r="AM84" i="70"/>
  <c r="AN84" i="70"/>
  <c r="AO84" i="70"/>
  <c r="AP84" i="70"/>
  <c r="AQ84" i="70"/>
  <c r="AR84" i="70"/>
  <c r="AS84" i="70"/>
  <c r="AT84" i="70"/>
  <c r="AU84" i="70"/>
  <c r="AV84" i="70"/>
  <c r="AW84" i="70"/>
  <c r="AX84" i="70"/>
  <c r="AY84" i="70"/>
  <c r="AZ84" i="70"/>
  <c r="BA84" i="70"/>
  <c r="BB84" i="70"/>
  <c r="BC84" i="70"/>
  <c r="BD84" i="70"/>
  <c r="BE84" i="70"/>
  <c r="BF84" i="70"/>
  <c r="BG84" i="70"/>
  <c r="BH84" i="70"/>
  <c r="BI84" i="70"/>
  <c r="BJ84" i="70"/>
  <c r="BK84" i="70"/>
  <c r="BL84" i="70"/>
  <c r="BM84" i="70"/>
  <c r="BN84" i="70"/>
  <c r="BO84" i="70"/>
  <c r="BP84" i="70"/>
  <c r="BQ84" i="70"/>
  <c r="BR84" i="70"/>
  <c r="BS84" i="70"/>
  <c r="BT84" i="70"/>
  <c r="BU84" i="70"/>
  <c r="BV84" i="70"/>
  <c r="BW84" i="70"/>
  <c r="BX84" i="70"/>
  <c r="BY84" i="70"/>
  <c r="BZ84" i="70"/>
  <c r="CA84" i="70"/>
  <c r="CB84" i="70"/>
  <c r="CC84" i="70"/>
  <c r="CD84" i="70"/>
  <c r="CE84" i="70"/>
  <c r="CF84" i="70"/>
  <c r="CG84" i="70"/>
  <c r="CH84" i="70"/>
  <c r="CI84" i="70"/>
  <c r="CJ84" i="70"/>
  <c r="CK84" i="70"/>
  <c r="CL84" i="70"/>
  <c r="CM84" i="70"/>
  <c r="CN84" i="70"/>
  <c r="CO84" i="70"/>
  <c r="CP84" i="70"/>
  <c r="CQ84" i="70"/>
  <c r="CR84" i="70"/>
  <c r="CS84" i="70"/>
  <c r="CT84" i="70"/>
  <c r="CU84" i="70"/>
  <c r="CV84" i="70"/>
  <c r="CW84" i="70"/>
  <c r="CX84" i="70"/>
  <c r="CY84" i="70"/>
  <c r="CZ84" i="70"/>
  <c r="DA84" i="70"/>
  <c r="DB84" i="70"/>
  <c r="DC84" i="70"/>
  <c r="DD84" i="70"/>
  <c r="DE84" i="70"/>
  <c r="DF84" i="70"/>
  <c r="DG84" i="70"/>
  <c r="DH84" i="70"/>
  <c r="DI84" i="70"/>
  <c r="DJ84" i="70"/>
  <c r="DK84" i="70"/>
  <c r="DL84" i="70"/>
  <c r="DM84" i="70"/>
  <c r="DN84" i="70"/>
  <c r="DO84" i="70"/>
  <c r="DP84" i="70"/>
  <c r="DQ84" i="70"/>
  <c r="DR84" i="70"/>
  <c r="DS84" i="70"/>
  <c r="DT84" i="70"/>
  <c r="DU84" i="70"/>
  <c r="DV84" i="70"/>
  <c r="DW84" i="70"/>
  <c r="DX84" i="70"/>
  <c r="DY84" i="70"/>
  <c r="DZ84" i="70"/>
  <c r="EA84" i="70"/>
  <c r="EB84" i="70"/>
  <c r="EC84" i="70"/>
  <c r="ED84" i="70"/>
  <c r="EE84" i="70"/>
  <c r="EF84" i="70"/>
  <c r="EG84" i="70"/>
  <c r="EH84" i="70"/>
  <c r="EI84" i="70"/>
  <c r="EJ84" i="70"/>
  <c r="EK84" i="70"/>
  <c r="EL84" i="70"/>
  <c r="EM84" i="70"/>
  <c r="EN84" i="70"/>
  <c r="EO84" i="70"/>
  <c r="EP84" i="70"/>
  <c r="EQ84" i="70"/>
  <c r="ER84" i="70"/>
  <c r="ES84" i="70"/>
  <c r="ET84" i="70"/>
  <c r="EU84" i="70"/>
  <c r="EV84" i="70"/>
  <c r="EW84" i="70"/>
  <c r="EX84" i="70"/>
  <c r="EY84" i="70"/>
  <c r="EZ84" i="70"/>
  <c r="FA84" i="70"/>
  <c r="FB84" i="70"/>
  <c r="FC84" i="70"/>
  <c r="FD84" i="70"/>
  <c r="FE84" i="70"/>
  <c r="FF84" i="70"/>
  <c r="FG84" i="70"/>
  <c r="FH84" i="70"/>
  <c r="FI84" i="70"/>
  <c r="FJ84" i="70"/>
  <c r="FK84" i="70"/>
  <c r="FL84" i="70"/>
  <c r="FM84" i="70"/>
  <c r="FN84" i="70"/>
  <c r="FO84" i="70"/>
  <c r="FP84" i="70"/>
  <c r="FQ84" i="70"/>
  <c r="FR84" i="70"/>
  <c r="FS84" i="70"/>
  <c r="FT84" i="70"/>
  <c r="FU84" i="70"/>
  <c r="FV84" i="70"/>
  <c r="FW84" i="70"/>
  <c r="FX84" i="70"/>
  <c r="FY84" i="70"/>
  <c r="FZ84" i="70"/>
  <c r="GA84" i="70"/>
  <c r="GB84" i="70"/>
  <c r="GC84" i="70"/>
  <c r="U85" i="70"/>
  <c r="V85" i="70"/>
  <c r="X85" i="70"/>
  <c r="Y85" i="70"/>
  <c r="Z85" i="70"/>
  <c r="AA85" i="70"/>
  <c r="AI85" i="70"/>
  <c r="AJ85" i="70"/>
  <c r="AK85" i="70"/>
  <c r="AL85" i="70"/>
  <c r="AM85" i="70"/>
  <c r="AN85" i="70"/>
  <c r="AO85" i="70"/>
  <c r="AP85" i="70"/>
  <c r="AQ85" i="70"/>
  <c r="AR85" i="70"/>
  <c r="AS85" i="70"/>
  <c r="AT85" i="70"/>
  <c r="AU85" i="70"/>
  <c r="AV85" i="70"/>
  <c r="AW85" i="70"/>
  <c r="AX85" i="70"/>
  <c r="AY85" i="70"/>
  <c r="AZ85" i="70"/>
  <c r="BA85" i="70"/>
  <c r="BB85" i="70"/>
  <c r="BC85" i="70"/>
  <c r="BD85" i="70"/>
  <c r="BE85" i="70"/>
  <c r="BF85" i="70"/>
  <c r="BG85" i="70"/>
  <c r="BH85" i="70"/>
  <c r="BI85" i="70"/>
  <c r="BJ85" i="70"/>
  <c r="BK85" i="70"/>
  <c r="BL85" i="70"/>
  <c r="BM85" i="70"/>
  <c r="BN85" i="70"/>
  <c r="BO85" i="70"/>
  <c r="BP85" i="70"/>
  <c r="BQ85" i="70"/>
  <c r="BR85" i="70"/>
  <c r="BS85" i="70"/>
  <c r="BT85" i="70"/>
  <c r="BU85" i="70"/>
  <c r="BV85" i="70"/>
  <c r="BW85" i="70"/>
  <c r="BX85" i="70"/>
  <c r="BY85" i="70"/>
  <c r="BZ85" i="70"/>
  <c r="CA85" i="70"/>
  <c r="CB85" i="70"/>
  <c r="CC85" i="70"/>
  <c r="CD85" i="70"/>
  <c r="CE85" i="70"/>
  <c r="CF85" i="70"/>
  <c r="CG85" i="70"/>
  <c r="CH85" i="70"/>
  <c r="CI85" i="70"/>
  <c r="CJ85" i="70"/>
  <c r="CK85" i="70"/>
  <c r="CL85" i="70"/>
  <c r="CM85" i="70"/>
  <c r="CN85" i="70"/>
  <c r="CO85" i="70"/>
  <c r="CP85" i="70"/>
  <c r="CQ85" i="70"/>
  <c r="CR85" i="70"/>
  <c r="CS85" i="70"/>
  <c r="CT85" i="70"/>
  <c r="CU85" i="70"/>
  <c r="CV85" i="70"/>
  <c r="CW85" i="70"/>
  <c r="CX85" i="70"/>
  <c r="CY85" i="70"/>
  <c r="CZ85" i="70"/>
  <c r="DA85" i="70"/>
  <c r="DB85" i="70"/>
  <c r="DC85" i="70"/>
  <c r="DD85" i="70"/>
  <c r="DE85" i="70"/>
  <c r="DF85" i="70"/>
  <c r="DG85" i="70"/>
  <c r="DH85" i="70"/>
  <c r="DI85" i="70"/>
  <c r="DJ85" i="70"/>
  <c r="DK85" i="70"/>
  <c r="DL85" i="70"/>
  <c r="DM85" i="70"/>
  <c r="DN85" i="70"/>
  <c r="DO85" i="70"/>
  <c r="DP85" i="70"/>
  <c r="DQ85" i="70"/>
  <c r="DR85" i="70"/>
  <c r="DS85" i="70"/>
  <c r="DT85" i="70"/>
  <c r="DU85" i="70"/>
  <c r="DV85" i="70"/>
  <c r="DW85" i="70"/>
  <c r="DX85" i="70"/>
  <c r="DY85" i="70"/>
  <c r="DZ85" i="70"/>
  <c r="EA85" i="70"/>
  <c r="EB85" i="70"/>
  <c r="EC85" i="70"/>
  <c r="ED85" i="70"/>
  <c r="EE85" i="70"/>
  <c r="EF85" i="70"/>
  <c r="EG85" i="70"/>
  <c r="EH85" i="70"/>
  <c r="EI85" i="70"/>
  <c r="EJ85" i="70"/>
  <c r="EK85" i="70"/>
  <c r="EL85" i="70"/>
  <c r="EM85" i="70"/>
  <c r="EN85" i="70"/>
  <c r="EO85" i="70"/>
  <c r="EP85" i="70"/>
  <c r="EQ85" i="70"/>
  <c r="ER85" i="70"/>
  <c r="ES85" i="70"/>
  <c r="ET85" i="70"/>
  <c r="EU85" i="70"/>
  <c r="EV85" i="70"/>
  <c r="EW85" i="70"/>
  <c r="EX85" i="70"/>
  <c r="EY85" i="70"/>
  <c r="EZ85" i="70"/>
  <c r="FA85" i="70"/>
  <c r="FB85" i="70"/>
  <c r="FC85" i="70"/>
  <c r="FD85" i="70"/>
  <c r="FE85" i="70"/>
  <c r="FF85" i="70"/>
  <c r="FG85" i="70"/>
  <c r="FH85" i="70"/>
  <c r="FI85" i="70"/>
  <c r="FJ85" i="70"/>
  <c r="FK85" i="70"/>
  <c r="FL85" i="70"/>
  <c r="FM85" i="70"/>
  <c r="FN85" i="70"/>
  <c r="FO85" i="70"/>
  <c r="FP85" i="70"/>
  <c r="FQ85" i="70"/>
  <c r="FR85" i="70"/>
  <c r="FS85" i="70"/>
  <c r="FT85" i="70"/>
  <c r="FU85" i="70"/>
  <c r="FV85" i="70"/>
  <c r="FW85" i="70"/>
  <c r="FX85" i="70"/>
  <c r="FY85" i="70"/>
  <c r="FZ85" i="70"/>
  <c r="GA85" i="70"/>
  <c r="GB85" i="70"/>
  <c r="GC85" i="70"/>
  <c r="U86" i="70"/>
  <c r="V86" i="70"/>
  <c r="X86" i="70"/>
  <c r="Y86" i="70"/>
  <c r="Z86" i="70"/>
  <c r="AA86" i="70"/>
  <c r="AI86" i="70"/>
  <c r="AJ86" i="70"/>
  <c r="AK86" i="70"/>
  <c r="AL86" i="70"/>
  <c r="AM86" i="70"/>
  <c r="AN86" i="70"/>
  <c r="AO86" i="70"/>
  <c r="AP86" i="70"/>
  <c r="AQ86" i="70"/>
  <c r="AR86" i="70"/>
  <c r="AS86" i="70"/>
  <c r="AT86" i="70"/>
  <c r="AU86" i="70"/>
  <c r="AV86" i="70"/>
  <c r="AW86" i="70"/>
  <c r="AX86" i="70"/>
  <c r="AY86" i="70"/>
  <c r="AZ86" i="70"/>
  <c r="BA86" i="70"/>
  <c r="BB86" i="70"/>
  <c r="BC86" i="70"/>
  <c r="BD86" i="70"/>
  <c r="BE86" i="70"/>
  <c r="BF86" i="70"/>
  <c r="BG86" i="70"/>
  <c r="BH86" i="70"/>
  <c r="BI86" i="70"/>
  <c r="BJ86" i="70"/>
  <c r="BK86" i="70"/>
  <c r="BL86" i="70"/>
  <c r="BM86" i="70"/>
  <c r="BN86" i="70"/>
  <c r="BO86" i="70"/>
  <c r="BP86" i="70"/>
  <c r="BQ86" i="70"/>
  <c r="BR86" i="70"/>
  <c r="BS86" i="70"/>
  <c r="BT86" i="70"/>
  <c r="BU86" i="70"/>
  <c r="BV86" i="70"/>
  <c r="BW86" i="70"/>
  <c r="BX86" i="70"/>
  <c r="BY86" i="70"/>
  <c r="BZ86" i="70"/>
  <c r="CA86" i="70"/>
  <c r="CB86" i="70"/>
  <c r="CC86" i="70"/>
  <c r="CD86" i="70"/>
  <c r="CE86" i="70"/>
  <c r="CF86" i="70"/>
  <c r="CG86" i="70"/>
  <c r="CH86" i="70"/>
  <c r="CI86" i="70"/>
  <c r="CJ86" i="70"/>
  <c r="CK86" i="70"/>
  <c r="CL86" i="70"/>
  <c r="CM86" i="70"/>
  <c r="CN86" i="70"/>
  <c r="CO86" i="70"/>
  <c r="CP86" i="70"/>
  <c r="CQ86" i="70"/>
  <c r="CR86" i="70"/>
  <c r="CS86" i="70"/>
  <c r="CT86" i="70"/>
  <c r="CU86" i="70"/>
  <c r="CV86" i="70"/>
  <c r="CW86" i="70"/>
  <c r="CX86" i="70"/>
  <c r="CY86" i="70"/>
  <c r="CZ86" i="70"/>
  <c r="DA86" i="70"/>
  <c r="DB86" i="70"/>
  <c r="DC86" i="70"/>
  <c r="DD86" i="70"/>
  <c r="DE86" i="70"/>
  <c r="DF86" i="70"/>
  <c r="DG86" i="70"/>
  <c r="DH86" i="70"/>
  <c r="DI86" i="70"/>
  <c r="DJ86" i="70"/>
  <c r="DK86" i="70"/>
  <c r="DL86" i="70"/>
  <c r="DM86" i="70"/>
  <c r="DN86" i="70"/>
  <c r="DO86" i="70"/>
  <c r="DP86" i="70"/>
  <c r="DQ86" i="70"/>
  <c r="DR86" i="70"/>
  <c r="DS86" i="70"/>
  <c r="DT86" i="70"/>
  <c r="DU86" i="70"/>
  <c r="DV86" i="70"/>
  <c r="DW86" i="70"/>
  <c r="DX86" i="70"/>
  <c r="DY86" i="70"/>
  <c r="DZ86" i="70"/>
  <c r="EA86" i="70"/>
  <c r="EB86" i="70"/>
  <c r="EC86" i="70"/>
  <c r="ED86" i="70"/>
  <c r="EE86" i="70"/>
  <c r="EF86" i="70"/>
  <c r="EG86" i="70"/>
  <c r="EH86" i="70"/>
  <c r="EI86" i="70"/>
  <c r="EJ86" i="70"/>
  <c r="EK86" i="70"/>
  <c r="EL86" i="70"/>
  <c r="EM86" i="70"/>
  <c r="EN86" i="70"/>
  <c r="EO86" i="70"/>
  <c r="EP86" i="70"/>
  <c r="EQ86" i="70"/>
  <c r="ER86" i="70"/>
  <c r="ES86" i="70"/>
  <c r="ET86" i="70"/>
  <c r="EU86" i="70"/>
  <c r="EV86" i="70"/>
  <c r="EW86" i="70"/>
  <c r="EX86" i="70"/>
  <c r="EY86" i="70"/>
  <c r="EZ86" i="70"/>
  <c r="FA86" i="70"/>
  <c r="FB86" i="70"/>
  <c r="FC86" i="70"/>
  <c r="FD86" i="70"/>
  <c r="FE86" i="70"/>
  <c r="FF86" i="70"/>
  <c r="FG86" i="70"/>
  <c r="FH86" i="70"/>
  <c r="FI86" i="70"/>
  <c r="FJ86" i="70"/>
  <c r="FK86" i="70"/>
  <c r="FL86" i="70"/>
  <c r="FM86" i="70"/>
  <c r="FN86" i="70"/>
  <c r="FO86" i="70"/>
  <c r="FP86" i="70"/>
  <c r="FQ86" i="70"/>
  <c r="FR86" i="70"/>
  <c r="FS86" i="70"/>
  <c r="FT86" i="70"/>
  <c r="FU86" i="70"/>
  <c r="FV86" i="70"/>
  <c r="FW86" i="70"/>
  <c r="FX86" i="70"/>
  <c r="FY86" i="70"/>
  <c r="FZ86" i="70"/>
  <c r="GA86" i="70"/>
  <c r="GB86" i="70"/>
  <c r="GC86" i="70"/>
  <c r="U87" i="70"/>
  <c r="V87" i="70"/>
  <c r="X87" i="70"/>
  <c r="Y87" i="70"/>
  <c r="Z87" i="70"/>
  <c r="AA87" i="70"/>
  <c r="AI87" i="70"/>
  <c r="AJ87" i="70"/>
  <c r="AK87" i="70"/>
  <c r="AL87" i="70"/>
  <c r="AM87" i="70"/>
  <c r="AN87" i="70"/>
  <c r="AO87" i="70"/>
  <c r="AP87" i="70"/>
  <c r="AQ87" i="70"/>
  <c r="AR87" i="70"/>
  <c r="AS87" i="70"/>
  <c r="AT87" i="70"/>
  <c r="AU87" i="70"/>
  <c r="AV87" i="70"/>
  <c r="AW87" i="70"/>
  <c r="AX87" i="70"/>
  <c r="AY87" i="70"/>
  <c r="AZ87" i="70"/>
  <c r="BA87" i="70"/>
  <c r="BB87" i="70"/>
  <c r="BC87" i="70"/>
  <c r="BD87" i="70"/>
  <c r="BE87" i="70"/>
  <c r="BF87" i="70"/>
  <c r="BG87" i="70"/>
  <c r="BH87" i="70"/>
  <c r="BI87" i="70"/>
  <c r="BJ87" i="70"/>
  <c r="BK87" i="70"/>
  <c r="BL87" i="70"/>
  <c r="BM87" i="70"/>
  <c r="BN87" i="70"/>
  <c r="BO87" i="70"/>
  <c r="BP87" i="70"/>
  <c r="BQ87" i="70"/>
  <c r="BR87" i="70"/>
  <c r="BS87" i="70"/>
  <c r="BT87" i="70"/>
  <c r="BU87" i="70"/>
  <c r="BV87" i="70"/>
  <c r="BW87" i="70"/>
  <c r="BX87" i="70"/>
  <c r="BY87" i="70"/>
  <c r="BZ87" i="70"/>
  <c r="CA87" i="70"/>
  <c r="CB87" i="70"/>
  <c r="CC87" i="70"/>
  <c r="CD87" i="70"/>
  <c r="CE87" i="70"/>
  <c r="CF87" i="70"/>
  <c r="CG87" i="70"/>
  <c r="CH87" i="70"/>
  <c r="CI87" i="70"/>
  <c r="CJ87" i="70"/>
  <c r="CK87" i="70"/>
  <c r="CL87" i="70"/>
  <c r="CM87" i="70"/>
  <c r="CN87" i="70"/>
  <c r="CO87" i="70"/>
  <c r="CP87" i="70"/>
  <c r="CQ87" i="70"/>
  <c r="CR87" i="70"/>
  <c r="CS87" i="70"/>
  <c r="CT87" i="70"/>
  <c r="CU87" i="70"/>
  <c r="CV87" i="70"/>
  <c r="CW87" i="70"/>
  <c r="CX87" i="70"/>
  <c r="CY87" i="70"/>
  <c r="CZ87" i="70"/>
  <c r="DA87" i="70"/>
  <c r="DB87" i="70"/>
  <c r="DC87" i="70"/>
  <c r="DD87" i="70"/>
  <c r="DE87" i="70"/>
  <c r="DF87" i="70"/>
  <c r="DG87" i="70"/>
  <c r="DH87" i="70"/>
  <c r="DI87" i="70"/>
  <c r="DJ87" i="70"/>
  <c r="DK87" i="70"/>
  <c r="DL87" i="70"/>
  <c r="DM87" i="70"/>
  <c r="DN87" i="70"/>
  <c r="DO87" i="70"/>
  <c r="DP87" i="70"/>
  <c r="DQ87" i="70"/>
  <c r="DR87" i="70"/>
  <c r="DS87" i="70"/>
  <c r="DT87" i="70"/>
  <c r="DU87" i="70"/>
  <c r="DV87" i="70"/>
  <c r="DW87" i="70"/>
  <c r="DX87" i="70"/>
  <c r="DY87" i="70"/>
  <c r="DZ87" i="70"/>
  <c r="EA87" i="70"/>
  <c r="EB87" i="70"/>
  <c r="EC87" i="70"/>
  <c r="ED87" i="70"/>
  <c r="EE87" i="70"/>
  <c r="EF87" i="70"/>
  <c r="EG87" i="70"/>
  <c r="EH87" i="70"/>
  <c r="EI87" i="70"/>
  <c r="EJ87" i="70"/>
  <c r="EK87" i="70"/>
  <c r="EL87" i="70"/>
  <c r="EM87" i="70"/>
  <c r="EN87" i="70"/>
  <c r="EO87" i="70"/>
  <c r="EP87" i="70"/>
  <c r="EQ87" i="70"/>
  <c r="ER87" i="70"/>
  <c r="ES87" i="70"/>
  <c r="ET87" i="70"/>
  <c r="EU87" i="70"/>
  <c r="EV87" i="70"/>
  <c r="EW87" i="70"/>
  <c r="EX87" i="70"/>
  <c r="EY87" i="70"/>
  <c r="EZ87" i="70"/>
  <c r="FA87" i="70"/>
  <c r="FB87" i="70"/>
  <c r="FC87" i="70"/>
  <c r="FD87" i="70"/>
  <c r="FE87" i="70"/>
  <c r="FF87" i="70"/>
  <c r="FG87" i="70"/>
  <c r="FH87" i="70"/>
  <c r="FI87" i="70"/>
  <c r="FJ87" i="70"/>
  <c r="FK87" i="70"/>
  <c r="FL87" i="70"/>
  <c r="FM87" i="70"/>
  <c r="FN87" i="70"/>
  <c r="FO87" i="70"/>
  <c r="FP87" i="70"/>
  <c r="FQ87" i="70"/>
  <c r="FR87" i="70"/>
  <c r="FS87" i="70"/>
  <c r="FT87" i="70"/>
  <c r="FU87" i="70"/>
  <c r="FV87" i="70"/>
  <c r="FW87" i="70"/>
  <c r="FX87" i="70"/>
  <c r="FY87" i="70"/>
  <c r="FZ87" i="70"/>
  <c r="GA87" i="70"/>
  <c r="GB87" i="70"/>
  <c r="GC87" i="70"/>
  <c r="U88" i="70"/>
  <c r="V88" i="70"/>
  <c r="X88" i="70"/>
  <c r="Y88" i="70"/>
  <c r="Z88" i="70"/>
  <c r="AA88" i="70"/>
  <c r="AI88" i="70"/>
  <c r="AJ88" i="70"/>
  <c r="AK88" i="70"/>
  <c r="AL88" i="70"/>
  <c r="AM88" i="70"/>
  <c r="AN88" i="70"/>
  <c r="AO88" i="70"/>
  <c r="AP88" i="70"/>
  <c r="AQ88" i="70"/>
  <c r="AR88" i="70"/>
  <c r="AS88" i="70"/>
  <c r="AT88" i="70"/>
  <c r="AU88" i="70"/>
  <c r="AV88" i="70"/>
  <c r="AW88" i="70"/>
  <c r="AX88" i="70"/>
  <c r="AY88" i="70"/>
  <c r="AZ88" i="70"/>
  <c r="BA88" i="70"/>
  <c r="BB88" i="70"/>
  <c r="BC88" i="70"/>
  <c r="BD88" i="70"/>
  <c r="BE88" i="70"/>
  <c r="BF88" i="70"/>
  <c r="BG88" i="70"/>
  <c r="BH88" i="70"/>
  <c r="BI88" i="70"/>
  <c r="BJ88" i="70"/>
  <c r="BK88" i="70"/>
  <c r="BL88" i="70"/>
  <c r="BM88" i="70"/>
  <c r="BN88" i="70"/>
  <c r="BO88" i="70"/>
  <c r="BP88" i="70"/>
  <c r="BQ88" i="70"/>
  <c r="BR88" i="70"/>
  <c r="BS88" i="70"/>
  <c r="BT88" i="70"/>
  <c r="BU88" i="70"/>
  <c r="BV88" i="70"/>
  <c r="BW88" i="70"/>
  <c r="BX88" i="70"/>
  <c r="BY88" i="70"/>
  <c r="BZ88" i="70"/>
  <c r="CA88" i="70"/>
  <c r="CB88" i="70"/>
  <c r="CC88" i="70"/>
  <c r="CD88" i="70"/>
  <c r="CE88" i="70"/>
  <c r="CF88" i="70"/>
  <c r="CG88" i="70"/>
  <c r="CH88" i="70"/>
  <c r="CI88" i="70"/>
  <c r="CJ88" i="70"/>
  <c r="CK88" i="70"/>
  <c r="CL88" i="70"/>
  <c r="CM88" i="70"/>
  <c r="CN88" i="70"/>
  <c r="CO88" i="70"/>
  <c r="CP88" i="70"/>
  <c r="CQ88" i="70"/>
  <c r="CR88" i="70"/>
  <c r="CS88" i="70"/>
  <c r="CT88" i="70"/>
  <c r="CU88" i="70"/>
  <c r="CV88" i="70"/>
  <c r="CW88" i="70"/>
  <c r="CX88" i="70"/>
  <c r="CY88" i="70"/>
  <c r="CZ88" i="70"/>
  <c r="DA88" i="70"/>
  <c r="DB88" i="70"/>
  <c r="DC88" i="70"/>
  <c r="DD88" i="70"/>
  <c r="DE88" i="70"/>
  <c r="DF88" i="70"/>
  <c r="DG88" i="70"/>
  <c r="DH88" i="70"/>
  <c r="DI88" i="70"/>
  <c r="DJ88" i="70"/>
  <c r="DK88" i="70"/>
  <c r="DL88" i="70"/>
  <c r="DM88" i="70"/>
  <c r="DN88" i="70"/>
  <c r="DO88" i="70"/>
  <c r="DP88" i="70"/>
  <c r="DQ88" i="70"/>
  <c r="DR88" i="70"/>
  <c r="DS88" i="70"/>
  <c r="DT88" i="70"/>
  <c r="DU88" i="70"/>
  <c r="DV88" i="70"/>
  <c r="DW88" i="70"/>
  <c r="DX88" i="70"/>
  <c r="DY88" i="70"/>
  <c r="DZ88" i="70"/>
  <c r="EA88" i="70"/>
  <c r="EB88" i="70"/>
  <c r="EC88" i="70"/>
  <c r="ED88" i="70"/>
  <c r="EE88" i="70"/>
  <c r="EF88" i="70"/>
  <c r="EG88" i="70"/>
  <c r="EH88" i="70"/>
  <c r="EI88" i="70"/>
  <c r="EJ88" i="70"/>
  <c r="EK88" i="70"/>
  <c r="EL88" i="70"/>
  <c r="EM88" i="70"/>
  <c r="EN88" i="70"/>
  <c r="EO88" i="70"/>
  <c r="EP88" i="70"/>
  <c r="EQ88" i="70"/>
  <c r="ER88" i="70"/>
  <c r="ES88" i="70"/>
  <c r="ET88" i="70"/>
  <c r="EU88" i="70"/>
  <c r="EV88" i="70"/>
  <c r="EW88" i="70"/>
  <c r="EX88" i="70"/>
  <c r="EY88" i="70"/>
  <c r="EZ88" i="70"/>
  <c r="FA88" i="70"/>
  <c r="FB88" i="70"/>
  <c r="FC88" i="70"/>
  <c r="FD88" i="70"/>
  <c r="FE88" i="70"/>
  <c r="FF88" i="70"/>
  <c r="FG88" i="70"/>
  <c r="FH88" i="70"/>
  <c r="FI88" i="70"/>
  <c r="FJ88" i="70"/>
  <c r="FK88" i="70"/>
  <c r="FL88" i="70"/>
  <c r="FM88" i="70"/>
  <c r="FN88" i="70"/>
  <c r="FO88" i="70"/>
  <c r="FP88" i="70"/>
  <c r="FQ88" i="70"/>
  <c r="FR88" i="70"/>
  <c r="FS88" i="70"/>
  <c r="FT88" i="70"/>
  <c r="FU88" i="70"/>
  <c r="FV88" i="70"/>
  <c r="FW88" i="70"/>
  <c r="FX88" i="70"/>
  <c r="FY88" i="70"/>
  <c r="FZ88" i="70"/>
  <c r="GA88" i="70"/>
  <c r="GB88" i="70"/>
  <c r="GC88" i="70"/>
  <c r="U89" i="70"/>
  <c r="V89" i="70"/>
  <c r="X89" i="70"/>
  <c r="Y89" i="70"/>
  <c r="Z89" i="70"/>
  <c r="AA89" i="70"/>
  <c r="AI89" i="70"/>
  <c r="AJ89" i="70"/>
  <c r="AK89" i="70"/>
  <c r="AL89" i="70"/>
  <c r="AM89" i="70"/>
  <c r="AN89" i="70"/>
  <c r="AO89" i="70"/>
  <c r="AP89" i="70"/>
  <c r="AQ89" i="70"/>
  <c r="AR89" i="70"/>
  <c r="AS89" i="70"/>
  <c r="AT89" i="70"/>
  <c r="AU89" i="70"/>
  <c r="AV89" i="70"/>
  <c r="AW89" i="70"/>
  <c r="AX89" i="70"/>
  <c r="AY89" i="70"/>
  <c r="AZ89" i="70"/>
  <c r="BA89" i="70"/>
  <c r="BB89" i="70"/>
  <c r="BC89" i="70"/>
  <c r="BD89" i="70"/>
  <c r="BE89" i="70"/>
  <c r="BF89" i="70"/>
  <c r="BG89" i="70"/>
  <c r="BH89" i="70"/>
  <c r="BI89" i="70"/>
  <c r="BJ89" i="70"/>
  <c r="BK89" i="70"/>
  <c r="BL89" i="70"/>
  <c r="BM89" i="70"/>
  <c r="BN89" i="70"/>
  <c r="BO89" i="70"/>
  <c r="BP89" i="70"/>
  <c r="BQ89" i="70"/>
  <c r="BR89" i="70"/>
  <c r="BS89" i="70"/>
  <c r="BT89" i="70"/>
  <c r="BU89" i="70"/>
  <c r="BV89" i="70"/>
  <c r="BW89" i="70"/>
  <c r="BX89" i="70"/>
  <c r="BY89" i="70"/>
  <c r="BZ89" i="70"/>
  <c r="CA89" i="70"/>
  <c r="CB89" i="70"/>
  <c r="CC89" i="70"/>
  <c r="CD89" i="70"/>
  <c r="CE89" i="70"/>
  <c r="CF89" i="70"/>
  <c r="CG89" i="70"/>
  <c r="CH89" i="70"/>
  <c r="CI89" i="70"/>
  <c r="CJ89" i="70"/>
  <c r="CK89" i="70"/>
  <c r="CL89" i="70"/>
  <c r="CM89" i="70"/>
  <c r="CN89" i="70"/>
  <c r="CO89" i="70"/>
  <c r="CP89" i="70"/>
  <c r="CQ89" i="70"/>
  <c r="CR89" i="70"/>
  <c r="CS89" i="70"/>
  <c r="CT89" i="70"/>
  <c r="CU89" i="70"/>
  <c r="CV89" i="70"/>
  <c r="CW89" i="70"/>
  <c r="CX89" i="70"/>
  <c r="CY89" i="70"/>
  <c r="CZ89" i="70"/>
  <c r="DA89" i="70"/>
  <c r="DB89" i="70"/>
  <c r="DC89" i="70"/>
  <c r="DD89" i="70"/>
  <c r="DE89" i="70"/>
  <c r="DF89" i="70"/>
  <c r="DG89" i="70"/>
  <c r="DH89" i="70"/>
  <c r="DI89" i="70"/>
  <c r="DJ89" i="70"/>
  <c r="DK89" i="70"/>
  <c r="DL89" i="70"/>
  <c r="DM89" i="70"/>
  <c r="DN89" i="70"/>
  <c r="DO89" i="70"/>
  <c r="DP89" i="70"/>
  <c r="DQ89" i="70"/>
  <c r="DR89" i="70"/>
  <c r="DS89" i="70"/>
  <c r="DT89" i="70"/>
  <c r="DU89" i="70"/>
  <c r="DV89" i="70"/>
  <c r="DW89" i="70"/>
  <c r="DX89" i="70"/>
  <c r="DY89" i="70"/>
  <c r="DZ89" i="70"/>
  <c r="EA89" i="70"/>
  <c r="EB89" i="70"/>
  <c r="EC89" i="70"/>
  <c r="ED89" i="70"/>
  <c r="EE89" i="70"/>
  <c r="EF89" i="70"/>
  <c r="EG89" i="70"/>
  <c r="EH89" i="70"/>
  <c r="EI89" i="70"/>
  <c r="EJ89" i="70"/>
  <c r="EK89" i="70"/>
  <c r="EL89" i="70"/>
  <c r="EM89" i="70"/>
  <c r="EN89" i="70"/>
  <c r="EO89" i="70"/>
  <c r="EP89" i="70"/>
  <c r="EQ89" i="70"/>
  <c r="ER89" i="70"/>
  <c r="ES89" i="70"/>
  <c r="ET89" i="70"/>
  <c r="EU89" i="70"/>
  <c r="EV89" i="70"/>
  <c r="EW89" i="70"/>
  <c r="EX89" i="70"/>
  <c r="EY89" i="70"/>
  <c r="EZ89" i="70"/>
  <c r="FA89" i="70"/>
  <c r="FB89" i="70"/>
  <c r="FC89" i="70"/>
  <c r="FD89" i="70"/>
  <c r="FE89" i="70"/>
  <c r="FF89" i="70"/>
  <c r="FG89" i="70"/>
  <c r="FH89" i="70"/>
  <c r="FI89" i="70"/>
  <c r="FJ89" i="70"/>
  <c r="FK89" i="70"/>
  <c r="FL89" i="70"/>
  <c r="FM89" i="70"/>
  <c r="FN89" i="70"/>
  <c r="FO89" i="70"/>
  <c r="FP89" i="70"/>
  <c r="FQ89" i="70"/>
  <c r="FR89" i="70"/>
  <c r="FS89" i="70"/>
  <c r="FT89" i="70"/>
  <c r="FU89" i="70"/>
  <c r="FV89" i="70"/>
  <c r="FW89" i="70"/>
  <c r="FX89" i="70"/>
  <c r="FY89" i="70"/>
  <c r="FZ89" i="70"/>
  <c r="GA89" i="70"/>
  <c r="GB89" i="70"/>
  <c r="GC89" i="70"/>
  <c r="U90" i="70"/>
  <c r="V90" i="70"/>
  <c r="X90" i="70"/>
  <c r="Y90" i="70"/>
  <c r="Z90" i="70"/>
  <c r="AA90" i="70"/>
  <c r="U91" i="70"/>
  <c r="V91" i="70"/>
  <c r="X91" i="70"/>
  <c r="Y91" i="70"/>
  <c r="Z91" i="70"/>
  <c r="AA91" i="70"/>
  <c r="U92" i="70"/>
  <c r="V92" i="70"/>
  <c r="X92" i="70"/>
  <c r="Y92" i="70"/>
  <c r="Z92" i="70"/>
  <c r="AA92" i="70"/>
  <c r="U93" i="70"/>
  <c r="V93" i="70"/>
  <c r="X93" i="70"/>
  <c r="Y93" i="70"/>
  <c r="Z93" i="70"/>
  <c r="AA93" i="70"/>
  <c r="U94" i="70"/>
  <c r="V94" i="70"/>
  <c r="X94" i="70"/>
  <c r="Y94" i="70"/>
  <c r="Z94" i="70"/>
  <c r="AA94" i="70"/>
  <c r="U95" i="70"/>
  <c r="V95" i="70"/>
  <c r="X95" i="70"/>
  <c r="Y95" i="70"/>
  <c r="Z95" i="70"/>
  <c r="AA95" i="70"/>
  <c r="U96" i="70"/>
  <c r="V96" i="70"/>
  <c r="X96" i="70"/>
  <c r="Y96" i="70"/>
  <c r="Z96" i="70"/>
  <c r="AA96" i="70"/>
  <c r="U97" i="70"/>
  <c r="V97" i="70"/>
  <c r="X97" i="70"/>
  <c r="Y97" i="70"/>
  <c r="Z97" i="70"/>
  <c r="AA97" i="70"/>
  <c r="U98" i="70"/>
  <c r="V98" i="70"/>
  <c r="X98" i="70"/>
  <c r="Y98" i="70"/>
  <c r="Z98" i="70"/>
  <c r="AA98" i="70"/>
  <c r="E188" i="70"/>
  <c r="U99" i="70"/>
  <c r="V99" i="70"/>
  <c r="X99" i="70"/>
  <c r="Y99" i="70"/>
  <c r="Z99" i="70"/>
  <c r="AA99" i="70"/>
  <c r="U100" i="70"/>
  <c r="V100" i="70"/>
  <c r="X100" i="70"/>
  <c r="Y100" i="70"/>
  <c r="Z100" i="70"/>
  <c r="AA100" i="70"/>
  <c r="U101" i="70"/>
  <c r="V101" i="70"/>
  <c r="X101" i="70"/>
  <c r="Y101" i="70"/>
  <c r="Z101" i="70"/>
  <c r="AA101" i="70"/>
  <c r="U102" i="70"/>
  <c r="V102" i="70"/>
  <c r="X102" i="70"/>
  <c r="Y102" i="70"/>
  <c r="Z102" i="70"/>
  <c r="AA102" i="70"/>
  <c r="U103" i="70"/>
  <c r="V103" i="70"/>
  <c r="X103" i="70"/>
  <c r="Y103" i="70"/>
  <c r="Z103" i="70"/>
  <c r="AA103" i="70"/>
  <c r="U104" i="70"/>
  <c r="V104" i="70"/>
  <c r="X104" i="70"/>
  <c r="Y104" i="70"/>
  <c r="Z104" i="70"/>
  <c r="AA104" i="70"/>
  <c r="U105" i="70"/>
  <c r="V105" i="70"/>
  <c r="X105" i="70"/>
  <c r="Y105" i="70"/>
  <c r="Z105" i="70"/>
  <c r="AA105" i="70"/>
  <c r="U106" i="70"/>
  <c r="V106" i="70"/>
  <c r="X106" i="70"/>
  <c r="Y106" i="70"/>
  <c r="Z106" i="70"/>
  <c r="AA106" i="70"/>
  <c r="U107" i="70"/>
  <c r="V107" i="70"/>
  <c r="X107" i="70"/>
  <c r="Y107" i="70"/>
  <c r="Z107" i="70"/>
  <c r="AA107" i="70"/>
  <c r="U108" i="70"/>
  <c r="V108" i="70"/>
  <c r="X108" i="70"/>
  <c r="Y108" i="70"/>
  <c r="Z108" i="70"/>
  <c r="AA108" i="70"/>
  <c r="U109" i="70"/>
  <c r="V109" i="70"/>
  <c r="X109" i="70"/>
  <c r="Y109" i="70"/>
  <c r="Z109" i="70"/>
  <c r="AA109" i="70"/>
  <c r="U110" i="70"/>
  <c r="V110" i="70"/>
  <c r="X110" i="70"/>
  <c r="Y110" i="70"/>
  <c r="Z110" i="70"/>
  <c r="AA110" i="70"/>
  <c r="U111" i="70"/>
  <c r="V111" i="70"/>
  <c r="X111" i="70"/>
  <c r="Y111" i="70"/>
  <c r="Z111" i="70"/>
  <c r="AA111" i="70"/>
  <c r="U112" i="70"/>
  <c r="V112" i="70"/>
  <c r="X112" i="70"/>
  <c r="Y112" i="70"/>
  <c r="Z112" i="70"/>
  <c r="AA112" i="70"/>
  <c r="U113" i="70"/>
  <c r="V113" i="70"/>
  <c r="X113" i="70"/>
  <c r="Y113" i="70"/>
  <c r="Z113" i="70"/>
  <c r="AA113" i="70"/>
  <c r="U114" i="70"/>
  <c r="V114" i="70"/>
  <c r="X114" i="70"/>
  <c r="Y114" i="70"/>
  <c r="Z114" i="70"/>
  <c r="AA114" i="70"/>
  <c r="U115" i="70"/>
  <c r="V115" i="70"/>
  <c r="X115" i="70"/>
  <c r="Y115" i="70"/>
  <c r="Z115" i="70"/>
  <c r="AA115" i="70"/>
  <c r="U116" i="70"/>
  <c r="V116" i="70"/>
  <c r="X116" i="70"/>
  <c r="Y116" i="70"/>
  <c r="Z116" i="70"/>
  <c r="AA116" i="70"/>
  <c r="U117" i="70"/>
  <c r="V117" i="70"/>
  <c r="X117" i="70"/>
  <c r="Y117" i="70"/>
  <c r="Z117" i="70"/>
  <c r="AA117" i="70"/>
  <c r="U118" i="70"/>
  <c r="V118" i="70"/>
  <c r="X118" i="70"/>
  <c r="Y118" i="70"/>
  <c r="Z118" i="70"/>
  <c r="AA118" i="70"/>
  <c r="U119" i="70"/>
  <c r="V119" i="70"/>
  <c r="X119" i="70"/>
  <c r="Y119" i="70"/>
  <c r="Z119" i="70"/>
  <c r="AA119" i="70"/>
  <c r="U120" i="70"/>
  <c r="V120" i="70"/>
  <c r="X120" i="70"/>
  <c r="Y120" i="70"/>
  <c r="Z120" i="70"/>
  <c r="AA120" i="70"/>
  <c r="U121" i="70"/>
  <c r="V121" i="70"/>
  <c r="X121" i="70"/>
  <c r="Y121" i="70"/>
  <c r="Z121" i="70"/>
  <c r="AA121" i="70"/>
  <c r="U122" i="70"/>
  <c r="V122" i="70"/>
  <c r="X122" i="70"/>
  <c r="Y122" i="70"/>
  <c r="Z122" i="70"/>
  <c r="AA122" i="70"/>
  <c r="U123" i="70"/>
  <c r="V123" i="70"/>
  <c r="X123" i="70"/>
  <c r="Y123" i="70"/>
  <c r="Z123" i="70"/>
  <c r="AA123" i="70"/>
  <c r="U124" i="70"/>
  <c r="V124" i="70"/>
  <c r="X124" i="70"/>
  <c r="Y124" i="70"/>
  <c r="Z124" i="70"/>
  <c r="AA124" i="70"/>
  <c r="U125" i="70"/>
  <c r="V125" i="70"/>
  <c r="X125" i="70"/>
  <c r="Y125" i="70"/>
  <c r="Z125" i="70"/>
  <c r="AA125" i="70"/>
  <c r="U126" i="70"/>
  <c r="V126" i="70"/>
  <c r="X126" i="70"/>
  <c r="Y126" i="70"/>
  <c r="Z126" i="70"/>
  <c r="AA126" i="70"/>
  <c r="U127" i="70"/>
  <c r="V127" i="70"/>
  <c r="X127" i="70"/>
  <c r="Y127" i="70"/>
  <c r="Z127" i="70"/>
  <c r="AA127" i="70"/>
  <c r="U128" i="70"/>
  <c r="V128" i="70"/>
  <c r="X128" i="70"/>
  <c r="Y128" i="70"/>
  <c r="Z128" i="70"/>
  <c r="AA128" i="70"/>
  <c r="U129" i="70"/>
  <c r="V129" i="70"/>
  <c r="X129" i="70"/>
  <c r="Y129" i="70"/>
  <c r="Z129" i="70"/>
  <c r="AA129" i="70"/>
  <c r="U130" i="70"/>
  <c r="V130" i="70"/>
  <c r="X130" i="70"/>
  <c r="Y130" i="70"/>
  <c r="Z130" i="70"/>
  <c r="AA130" i="70"/>
  <c r="U131" i="70"/>
  <c r="V131" i="70"/>
  <c r="X131" i="70"/>
  <c r="Y131" i="70"/>
  <c r="Z131" i="70"/>
  <c r="AA131" i="70"/>
  <c r="U132" i="70"/>
  <c r="V132" i="70"/>
  <c r="X132" i="70"/>
  <c r="Y132" i="70"/>
  <c r="Z132" i="70"/>
  <c r="AA132" i="70"/>
  <c r="U133" i="70"/>
  <c r="V133" i="70"/>
  <c r="X133" i="70"/>
  <c r="Y133" i="70"/>
  <c r="Z133" i="70"/>
  <c r="AA133" i="70"/>
  <c r="U134" i="70"/>
  <c r="V134" i="70"/>
  <c r="X134" i="70"/>
  <c r="Y134" i="70"/>
  <c r="Z134" i="70"/>
  <c r="AA134" i="70"/>
  <c r="N233" i="70"/>
  <c r="U135" i="70"/>
  <c r="V135" i="70"/>
  <c r="X135" i="70"/>
  <c r="Y135" i="70"/>
  <c r="Z135" i="70"/>
  <c r="AA135" i="70"/>
  <c r="U136" i="70"/>
  <c r="V136" i="70"/>
  <c r="X136" i="70"/>
  <c r="Y136" i="70"/>
  <c r="Z136" i="70"/>
  <c r="AA136" i="70"/>
  <c r="U137" i="70"/>
  <c r="V137" i="70"/>
  <c r="X137" i="70"/>
  <c r="Y137" i="70"/>
  <c r="Z137" i="70"/>
  <c r="AA137" i="70"/>
  <c r="U138" i="70"/>
  <c r="V138" i="70"/>
  <c r="X138" i="70"/>
  <c r="Y138" i="70"/>
  <c r="Z138" i="70"/>
  <c r="AA138" i="70"/>
  <c r="U139" i="70"/>
  <c r="V139" i="70"/>
  <c r="X139" i="70"/>
  <c r="Y139" i="70"/>
  <c r="Z139" i="70"/>
  <c r="AA139" i="70"/>
  <c r="U140" i="70"/>
  <c r="V140" i="70"/>
  <c r="X140" i="70"/>
  <c r="Y140" i="70"/>
  <c r="Z140" i="70"/>
  <c r="AA140" i="70"/>
  <c r="U141" i="70"/>
  <c r="V141" i="70"/>
  <c r="X141" i="70"/>
  <c r="Y141" i="70"/>
  <c r="Z141" i="70"/>
  <c r="AA141" i="70"/>
  <c r="U142" i="70"/>
  <c r="V142" i="70"/>
  <c r="X142" i="70"/>
  <c r="Y142" i="70"/>
  <c r="Z142" i="70"/>
  <c r="AA142" i="70"/>
  <c r="U143" i="70"/>
  <c r="V143" i="70"/>
  <c r="X143" i="70"/>
  <c r="Y143" i="70"/>
  <c r="Z143" i="70"/>
  <c r="AA143" i="70"/>
  <c r="U144" i="70"/>
  <c r="V144" i="70"/>
  <c r="X144" i="70"/>
  <c r="Y144" i="70"/>
  <c r="Z144" i="70"/>
  <c r="AA144" i="70"/>
  <c r="U145" i="70"/>
  <c r="V145" i="70"/>
  <c r="X145" i="70"/>
  <c r="Y145" i="70"/>
  <c r="Z145" i="70"/>
  <c r="AA145" i="70"/>
  <c r="U146" i="70"/>
  <c r="V146" i="70"/>
  <c r="X146" i="70"/>
  <c r="Y146" i="70"/>
  <c r="Z146" i="70"/>
  <c r="AA146" i="70"/>
  <c r="U147" i="70"/>
  <c r="V147" i="70"/>
  <c r="X147" i="70"/>
  <c r="Y147" i="70"/>
  <c r="Z147" i="70"/>
  <c r="AA147" i="70"/>
  <c r="U148" i="70"/>
  <c r="V148" i="70"/>
  <c r="X148" i="70"/>
  <c r="Y148" i="70"/>
  <c r="Z148" i="70"/>
  <c r="AA148" i="70"/>
  <c r="U149" i="70"/>
  <c r="V149" i="70"/>
  <c r="X149" i="70"/>
  <c r="Y149" i="70"/>
  <c r="Z149" i="70"/>
  <c r="AA149" i="70"/>
  <c r="U150" i="70"/>
  <c r="V150" i="70"/>
  <c r="X150" i="70"/>
  <c r="Y150" i="70"/>
  <c r="Z150" i="70"/>
  <c r="AA150" i="70"/>
  <c r="U151" i="70"/>
  <c r="V151" i="70"/>
  <c r="X151" i="70"/>
  <c r="Y151" i="70"/>
  <c r="Z151" i="70"/>
  <c r="AA151" i="70"/>
  <c r="U152" i="70"/>
  <c r="V152" i="70"/>
  <c r="X152" i="70"/>
  <c r="Y152" i="70"/>
  <c r="Z152" i="70"/>
  <c r="AA152" i="70"/>
  <c r="U153" i="70"/>
  <c r="V153" i="70"/>
  <c r="X153" i="70"/>
  <c r="Y153" i="70"/>
  <c r="Z153" i="70"/>
  <c r="AA153" i="70"/>
  <c r="U154" i="70"/>
  <c r="V154" i="70"/>
  <c r="X154" i="70"/>
  <c r="Y154" i="70"/>
  <c r="Z154" i="70"/>
  <c r="AA154" i="70"/>
  <c r="U155" i="70"/>
  <c r="V155" i="70"/>
  <c r="X155" i="70"/>
  <c r="Y155" i="70"/>
  <c r="Z155" i="70"/>
  <c r="AA155" i="70"/>
  <c r="U156" i="70"/>
  <c r="V156" i="70"/>
  <c r="X156" i="70"/>
  <c r="Y156" i="70"/>
  <c r="Z156" i="70"/>
  <c r="AA156" i="70"/>
  <c r="U157" i="70"/>
  <c r="V157" i="70"/>
  <c r="X157" i="70"/>
  <c r="Y157" i="70"/>
  <c r="Z157" i="70"/>
  <c r="AA157" i="70"/>
  <c r="U158" i="70"/>
  <c r="V158" i="70"/>
  <c r="X158" i="70"/>
  <c r="Y158" i="70"/>
  <c r="Z158" i="70"/>
  <c r="AA158" i="70"/>
  <c r="U159" i="70"/>
  <c r="V159" i="70"/>
  <c r="X159" i="70"/>
  <c r="Y159" i="70"/>
  <c r="Z159" i="70"/>
  <c r="AA159" i="70"/>
  <c r="U160" i="70"/>
  <c r="V160" i="70"/>
  <c r="X160" i="70"/>
  <c r="Y160" i="70"/>
  <c r="Z160" i="70"/>
  <c r="AA160" i="70"/>
  <c r="U161" i="70"/>
  <c r="V161" i="70"/>
  <c r="X161" i="70"/>
  <c r="Y161" i="70"/>
  <c r="Z161" i="70"/>
  <c r="AA161" i="70"/>
  <c r="P188" i="70"/>
  <c r="Q188" i="70" s="1"/>
  <c r="Q234" i="70" s="1"/>
  <c r="Y162" i="70" l="1"/>
  <c r="C180" i="70" s="1"/>
  <c r="GG58" i="70"/>
  <c r="GG45" i="70"/>
  <c r="V162" i="70"/>
  <c r="C171" i="70" s="1"/>
  <c r="X162" i="70"/>
  <c r="C179" i="70" s="1"/>
  <c r="U162" i="70"/>
  <c r="C166" i="70" s="1"/>
  <c r="GG38" i="70"/>
  <c r="GG34" i="70"/>
  <c r="GG14" i="70"/>
  <c r="Z162" i="70"/>
  <c r="C181" i="70" s="1"/>
  <c r="AA162" i="70"/>
  <c r="C178" i="70" s="1"/>
  <c r="GG65" i="70"/>
  <c r="GG57" i="70"/>
  <c r="GG52" i="70"/>
  <c r="GG44" i="70"/>
  <c r="GG30" i="70"/>
  <c r="GG76" i="70"/>
  <c r="GG68" i="70"/>
  <c r="GG74" i="70"/>
  <c r="GG36" i="70"/>
  <c r="GG50" i="70"/>
  <c r="GG42" i="70"/>
  <c r="GG33" i="70"/>
  <c r="GG28" i="70"/>
  <c r="GG20" i="70"/>
  <c r="GG72" i="70"/>
  <c r="GG69" i="70"/>
  <c r="GG64" i="70"/>
  <c r="GG56" i="70"/>
  <c r="GG48" i="70"/>
  <c r="GG40" i="70"/>
  <c r="GG26" i="70"/>
  <c r="GG18" i="70"/>
  <c r="GG70" i="70"/>
  <c r="GG60" i="70"/>
  <c r="GG54" i="70"/>
  <c r="GG32" i="70"/>
  <c r="GG24" i="70"/>
  <c r="GG16" i="70"/>
  <c r="A92" i="14"/>
  <c r="A96" i="14"/>
  <c r="A91" i="14"/>
  <c r="A95" i="14"/>
  <c r="A90" i="14"/>
  <c r="A94" i="14"/>
  <c r="GG53" i="70"/>
  <c r="GG61" i="70"/>
  <c r="GG37" i="70"/>
  <c r="GG12" i="70"/>
  <c r="GG41" i="70"/>
  <c r="GG17" i="70"/>
  <c r="GG19" i="70"/>
  <c r="GG49" i="70"/>
  <c r="GG29" i="70"/>
  <c r="GG46" i="70"/>
  <c r="GG66" i="70"/>
  <c r="GG59" i="70"/>
  <c r="GG39" i="70"/>
  <c r="GG62" i="70"/>
  <c r="GG22" i="70"/>
  <c r="GG47" i="70"/>
  <c r="GG27" i="70"/>
  <c r="GG15" i="70"/>
  <c r="GG67" i="70"/>
  <c r="GG25" i="70"/>
  <c r="GG10" i="70"/>
  <c r="GG55" i="70"/>
  <c r="GG35" i="70"/>
  <c r="GG75" i="70"/>
  <c r="GG13" i="70"/>
  <c r="GG73" i="70"/>
  <c r="GG43" i="70"/>
  <c r="GG11" i="70"/>
  <c r="GG63" i="70"/>
  <c r="GG23" i="70"/>
  <c r="GG21" i="70"/>
  <c r="GG51" i="70"/>
  <c r="GG31" i="70"/>
  <c r="GG71" i="70"/>
  <c r="GG88" i="70"/>
  <c r="GG82" i="70"/>
  <c r="GG83" i="70"/>
  <c r="GG89" i="70"/>
  <c r="GG84" i="70"/>
  <c r="GG87" i="70"/>
  <c r="GG81" i="70"/>
  <c r="GG86" i="70"/>
  <c r="GG85" i="70"/>
  <c r="P233" i="70"/>
  <c r="GG77" i="70" l="1"/>
  <c r="GG78" i="70" s="1"/>
  <c r="C173" i="70" s="1"/>
  <c r="GG92" i="70"/>
  <c r="C172" i="70" s="1"/>
  <c r="C182" i="70" l="1"/>
  <c r="B5" i="70" s="1"/>
  <c r="B6" i="70" s="1"/>
  <c r="B8" i="70" s="1"/>
  <c r="C79" i="14"/>
  <c r="S68" i="66"/>
  <c r="S67" i="66"/>
  <c r="S66" i="66"/>
  <c r="S65" i="66"/>
  <c r="S63" i="66"/>
  <c r="S61" i="66"/>
  <c r="S62" i="66"/>
  <c r="S60" i="66"/>
  <c r="S56" i="66"/>
  <c r="S57" i="66"/>
  <c r="S58" i="66"/>
  <c r="S55" i="66"/>
  <c r="S51" i="66"/>
  <c r="S52" i="66"/>
  <c r="S53" i="66"/>
  <c r="S50" i="66"/>
  <c r="S46" i="66"/>
  <c r="S47" i="66"/>
  <c r="S48" i="66"/>
  <c r="S45" i="66"/>
  <c r="S41" i="66"/>
  <c r="S42" i="66"/>
  <c r="S43" i="66"/>
  <c r="S40" i="66"/>
  <c r="Q67" i="66"/>
  <c r="Q68" i="66"/>
  <c r="Q66" i="66"/>
  <c r="Q65" i="66"/>
  <c r="Q61" i="66"/>
  <c r="Q62" i="66"/>
  <c r="Q63" i="66"/>
  <c r="Q60" i="66"/>
  <c r="Q56" i="66"/>
  <c r="Q57" i="66"/>
  <c r="Q58" i="66"/>
  <c r="Q55" i="66"/>
  <c r="Q51" i="66"/>
  <c r="Q52" i="66"/>
  <c r="E139" i="66" s="1"/>
  <c r="Q53" i="66"/>
  <c r="Q50" i="66"/>
  <c r="Q46" i="66"/>
  <c r="Q47" i="66"/>
  <c r="Q48" i="66"/>
  <c r="Q45" i="66"/>
  <c r="Q41" i="66"/>
  <c r="Q42" i="66"/>
  <c r="Q43" i="66"/>
  <c r="Q40" i="66"/>
  <c r="O68" i="66"/>
  <c r="O67" i="66"/>
  <c r="O66" i="66"/>
  <c r="O65" i="66"/>
  <c r="O63" i="66"/>
  <c r="O61" i="66"/>
  <c r="O62" i="66"/>
  <c r="O60" i="66"/>
  <c r="O58" i="66"/>
  <c r="O56" i="66"/>
  <c r="O57" i="66"/>
  <c r="O55" i="66"/>
  <c r="O51" i="66"/>
  <c r="O52" i="66"/>
  <c r="D139" i="66" s="1"/>
  <c r="O53" i="66"/>
  <c r="O50" i="66"/>
  <c r="O48" i="66"/>
  <c r="O46" i="66"/>
  <c r="O47" i="66"/>
  <c r="D138" i="66" s="1"/>
  <c r="O45" i="66"/>
  <c r="O41" i="66"/>
  <c r="O42" i="66"/>
  <c r="O43" i="66"/>
  <c r="O40" i="66"/>
  <c r="M68" i="66"/>
  <c r="M67" i="66"/>
  <c r="M66" i="66"/>
  <c r="M65" i="66"/>
  <c r="M61" i="66"/>
  <c r="M62" i="66"/>
  <c r="M63" i="66"/>
  <c r="M60" i="66"/>
  <c r="M58" i="66"/>
  <c r="M56" i="66"/>
  <c r="M57" i="66"/>
  <c r="M55" i="66"/>
  <c r="M53" i="66"/>
  <c r="M51" i="66"/>
  <c r="M52" i="66"/>
  <c r="F132" i="66" s="1"/>
  <c r="M50" i="66"/>
  <c r="M48" i="66"/>
  <c r="M46" i="66"/>
  <c r="M47" i="66"/>
  <c r="M45" i="66"/>
  <c r="M42" i="66"/>
  <c r="M43" i="66"/>
  <c r="M41" i="66"/>
  <c r="M40" i="66"/>
  <c r="K68" i="66"/>
  <c r="K67" i="66"/>
  <c r="K66" i="66"/>
  <c r="K65" i="66"/>
  <c r="K61" i="66"/>
  <c r="K62" i="66"/>
  <c r="K63" i="66"/>
  <c r="K60" i="66"/>
  <c r="K56" i="66"/>
  <c r="K57" i="66"/>
  <c r="K58" i="66"/>
  <c r="K55" i="66"/>
  <c r="K51" i="66"/>
  <c r="K52" i="66"/>
  <c r="E132" i="66" s="1"/>
  <c r="K53" i="66"/>
  <c r="K50" i="66"/>
  <c r="K46" i="66"/>
  <c r="K47" i="66"/>
  <c r="K48" i="66"/>
  <c r="K45" i="66"/>
  <c r="K43" i="66"/>
  <c r="K42" i="66"/>
  <c r="K41" i="66"/>
  <c r="K40" i="66"/>
  <c r="I67" i="66"/>
  <c r="I68" i="66"/>
  <c r="I66" i="66"/>
  <c r="I65" i="66"/>
  <c r="I63" i="66"/>
  <c r="I61" i="66"/>
  <c r="I62" i="66"/>
  <c r="I60" i="66"/>
  <c r="I56" i="66"/>
  <c r="I57" i="66"/>
  <c r="I58" i="66"/>
  <c r="I55" i="66"/>
  <c r="I51" i="66"/>
  <c r="I52" i="66"/>
  <c r="D132" i="66" s="1"/>
  <c r="I53" i="66"/>
  <c r="I50" i="66"/>
  <c r="I46" i="66"/>
  <c r="I47" i="66"/>
  <c r="I48" i="66"/>
  <c r="I45" i="66"/>
  <c r="I41" i="66"/>
  <c r="I42" i="66"/>
  <c r="I43" i="66"/>
  <c r="I40" i="66"/>
  <c r="G68" i="66"/>
  <c r="G67" i="66"/>
  <c r="G66" i="66"/>
  <c r="G65" i="66"/>
  <c r="G61" i="66"/>
  <c r="G62" i="66"/>
  <c r="G63" i="66"/>
  <c r="G60" i="66"/>
  <c r="G53" i="66"/>
  <c r="G51" i="66"/>
  <c r="G52" i="66"/>
  <c r="G50" i="66"/>
  <c r="G46" i="66"/>
  <c r="G47" i="66"/>
  <c r="G48" i="66"/>
  <c r="G45" i="66"/>
  <c r="G43" i="66"/>
  <c r="G42" i="66"/>
  <c r="G41" i="66"/>
  <c r="E67" i="66"/>
  <c r="E68" i="66"/>
  <c r="E66" i="66"/>
  <c r="E65" i="66"/>
  <c r="E61" i="66"/>
  <c r="E62" i="66"/>
  <c r="E63" i="66"/>
  <c r="E60" i="66"/>
  <c r="E56" i="66"/>
  <c r="E57" i="66"/>
  <c r="E58" i="66"/>
  <c r="E55" i="66"/>
  <c r="E51" i="66"/>
  <c r="E52" i="66"/>
  <c r="E53" i="66"/>
  <c r="E50" i="66"/>
  <c r="E46" i="66"/>
  <c r="E47" i="66"/>
  <c r="E48" i="66"/>
  <c r="E45" i="66"/>
  <c r="E41" i="66"/>
  <c r="E42" i="66"/>
  <c r="E43" i="66"/>
  <c r="C66" i="66"/>
  <c r="C67" i="66"/>
  <c r="C68" i="66"/>
  <c r="C65" i="66"/>
  <c r="C61" i="66"/>
  <c r="C62" i="66"/>
  <c r="C63" i="66"/>
  <c r="C60" i="66"/>
  <c r="C56" i="66"/>
  <c r="C57" i="66"/>
  <c r="C58" i="66"/>
  <c r="C55" i="66"/>
  <c r="C51" i="66"/>
  <c r="C52" i="66"/>
  <c r="C53" i="66"/>
  <c r="C50" i="66"/>
  <c r="C46" i="66"/>
  <c r="C47" i="66"/>
  <c r="C48" i="66"/>
  <c r="C45" i="66"/>
  <c r="C41" i="66"/>
  <c r="C42" i="66"/>
  <c r="C43" i="66"/>
  <c r="C44" i="66"/>
  <c r="F139" i="66" l="1"/>
  <c r="E125" i="66"/>
  <c r="F125" i="66"/>
  <c r="D125" i="66"/>
  <c r="D137" i="66"/>
  <c r="E124" i="66"/>
  <c r="D133" i="66"/>
  <c r="E140" i="66"/>
  <c r="F138" i="66"/>
  <c r="E131" i="66"/>
  <c r="F130" i="66"/>
  <c r="E123" i="66"/>
  <c r="F133" i="66"/>
  <c r="D124" i="66"/>
  <c r="F123" i="66"/>
  <c r="D123" i="66"/>
  <c r="F131" i="66"/>
  <c r="D126" i="66"/>
  <c r="F124" i="66"/>
  <c r="D130" i="66"/>
  <c r="E133" i="66"/>
  <c r="E137" i="66"/>
  <c r="F140" i="66"/>
  <c r="E126" i="66"/>
  <c r="F126" i="66"/>
  <c r="D131" i="66"/>
  <c r="E130" i="66"/>
  <c r="D140" i="66"/>
  <c r="E138" i="66"/>
  <c r="F137" i="66"/>
  <c r="E29" i="10"/>
  <c r="H35" i="10"/>
  <c r="H36" i="10"/>
  <c r="H37" i="10"/>
  <c r="H38" i="10"/>
  <c r="H27" i="10"/>
  <c r="C35" i="69"/>
  <c r="C34" i="69"/>
  <c r="C33" i="69"/>
  <c r="C32" i="69"/>
  <c r="C31" i="69"/>
  <c r="C30" i="69"/>
  <c r="C29" i="69"/>
  <c r="C28" i="69"/>
  <c r="C27" i="69"/>
  <c r="C36" i="69" l="1"/>
  <c r="C37" i="69" s="1"/>
  <c r="B5" i="69" l="1"/>
  <c r="F119" i="66"/>
  <c r="F118" i="66"/>
  <c r="F117" i="66"/>
  <c r="E119" i="66"/>
  <c r="E118" i="66"/>
  <c r="E117" i="66"/>
  <c r="D119" i="66"/>
  <c r="D118" i="66"/>
  <c r="D117" i="66"/>
  <c r="E115" i="66"/>
  <c r="E114" i="66"/>
  <c r="E113" i="66"/>
  <c r="D115" i="66"/>
  <c r="D114" i="66"/>
  <c r="D113" i="66"/>
  <c r="F115" i="66"/>
  <c r="F114" i="66"/>
  <c r="F113" i="66"/>
  <c r="F110" i="66"/>
  <c r="F109" i="66"/>
  <c r="E110" i="66"/>
  <c r="E109" i="66"/>
  <c r="D110" i="66"/>
  <c r="D106" i="66"/>
  <c r="D105" i="66"/>
  <c r="D104" i="66"/>
  <c r="D103" i="66"/>
  <c r="D102" i="66"/>
  <c r="D101" i="66"/>
  <c r="D100" i="66"/>
  <c r="D99" i="66"/>
  <c r="C147" i="66"/>
  <c r="C148" i="66"/>
  <c r="C149" i="66"/>
  <c r="C150" i="66"/>
  <c r="C151" i="66"/>
  <c r="C146" i="66"/>
  <c r="C95" i="66"/>
  <c r="C94" i="66"/>
  <c r="C81" i="66"/>
  <c r="C82" i="66"/>
  <c r="C83" i="66"/>
  <c r="C84" i="66"/>
  <c r="C85" i="66"/>
  <c r="C80" i="66"/>
  <c r="F120" i="66" l="1"/>
  <c r="F116" i="66"/>
  <c r="F112" i="66"/>
  <c r="B6" i="69"/>
  <c r="B8" i="69" s="1"/>
  <c r="E27" i="10"/>
  <c r="J27" i="10" s="1"/>
  <c r="N27" i="10" s="1"/>
  <c r="E55" i="18"/>
  <c r="D55" i="18"/>
  <c r="C55" i="18"/>
  <c r="D57" i="52"/>
  <c r="D70" i="50"/>
  <c r="D69" i="50"/>
  <c r="D68" i="50"/>
  <c r="D67" i="50"/>
  <c r="D66" i="50"/>
  <c r="D65" i="50"/>
  <c r="D64" i="50"/>
  <c r="D63" i="50"/>
  <c r="D62" i="50"/>
  <c r="D59" i="50"/>
  <c r="D58" i="50"/>
  <c r="D57" i="50"/>
  <c r="D56" i="50"/>
  <c r="D55" i="50"/>
  <c r="D54" i="50"/>
  <c r="D53" i="50"/>
  <c r="D52" i="50"/>
  <c r="D51" i="50"/>
  <c r="D48" i="50"/>
  <c r="D47" i="50"/>
  <c r="D46" i="50"/>
  <c r="D45" i="50"/>
  <c r="D44" i="50"/>
  <c r="D43" i="50"/>
  <c r="D42" i="50"/>
  <c r="D41" i="50"/>
  <c r="D91" i="52"/>
  <c r="D90" i="52"/>
  <c r="D89" i="52"/>
  <c r="D88" i="52"/>
  <c r="D87" i="52"/>
  <c r="D86" i="52"/>
  <c r="D85" i="52"/>
  <c r="D77" i="52"/>
  <c r="D76" i="52"/>
  <c r="D75" i="52"/>
  <c r="D74" i="52"/>
  <c r="D73" i="52"/>
  <c r="D72" i="52"/>
  <c r="D71" i="52"/>
  <c r="D63" i="52"/>
  <c r="D62" i="52"/>
  <c r="D61" i="52"/>
  <c r="D60" i="52"/>
  <c r="D59" i="52"/>
  <c r="D58" i="52"/>
  <c r="D33" i="48"/>
  <c r="D28" i="48"/>
  <c r="D23" i="48"/>
  <c r="F16" i="48"/>
  <c r="D39" i="11"/>
  <c r="D38" i="11"/>
  <c r="D35" i="11"/>
  <c r="D34" i="11"/>
  <c r="E33" i="11"/>
  <c r="D33" i="11"/>
  <c r="E32" i="11"/>
  <c r="D32" i="11"/>
  <c r="E31" i="11"/>
  <c r="D31" i="11"/>
  <c r="E46" i="67"/>
  <c r="E47" i="67"/>
  <c r="E48" i="67"/>
  <c r="E49" i="67"/>
  <c r="E50" i="67"/>
  <c r="E51" i="67"/>
  <c r="E52" i="67"/>
  <c r="E53" i="67"/>
  <c r="E54" i="67"/>
  <c r="E55" i="67"/>
  <c r="E56" i="67"/>
  <c r="E57" i="67"/>
  <c r="E58" i="67"/>
  <c r="E59" i="67"/>
  <c r="E60" i="67"/>
  <c r="E61" i="67"/>
  <c r="E62" i="67"/>
  <c r="E63" i="67"/>
  <c r="E64" i="67"/>
  <c r="E65" i="67"/>
  <c r="E45" i="67"/>
  <c r="Q121" i="54"/>
  <c r="P121" i="54"/>
  <c r="P122" i="54"/>
  <c r="Q14" i="35"/>
  <c r="Q15" i="35"/>
  <c r="Q16" i="35"/>
  <c r="Q17" i="35"/>
  <c r="Q18" i="35"/>
  <c r="Q19" i="35"/>
  <c r="Q20" i="35"/>
  <c r="Q21" i="35"/>
  <c r="Q22" i="35"/>
  <c r="Q23" i="35"/>
  <c r="Q24" i="35"/>
  <c r="Q25" i="35"/>
  <c r="Q26" i="35"/>
  <c r="Q27" i="35"/>
  <c r="Q28" i="35"/>
  <c r="Q29" i="35"/>
  <c r="Q30" i="35"/>
  <c r="Q31" i="35"/>
  <c r="Q32" i="35"/>
  <c r="Q33" i="35"/>
  <c r="Q34" i="35"/>
  <c r="Q35" i="35"/>
  <c r="Q36" i="35"/>
  <c r="Q37" i="35"/>
  <c r="G62" i="19"/>
  <c r="G61" i="19"/>
  <c r="B75" i="19"/>
  <c r="C86" i="14"/>
  <c r="C88" i="14"/>
  <c r="C78" i="14"/>
  <c r="C142" i="43"/>
  <c r="D24" i="48"/>
  <c r="D29" i="48"/>
  <c r="D34" i="48"/>
  <c r="H31" i="10"/>
  <c r="H28" i="10"/>
  <c r="H24" i="10"/>
  <c r="H39" i="10"/>
  <c r="A64" i="11"/>
  <c r="A50" i="11"/>
  <c r="A36" i="11"/>
  <c r="D49" i="50" l="1"/>
  <c r="D97" i="52"/>
  <c r="D83" i="52"/>
  <c r="D71" i="50"/>
  <c r="D60" i="50"/>
  <c r="D69" i="52"/>
  <c r="G26" i="15"/>
  <c r="C29" i="15" s="1"/>
  <c r="A32" i="48"/>
  <c r="A27" i="48"/>
  <c r="A22" i="48"/>
  <c r="D83" i="50" l="1"/>
  <c r="B5" i="50" s="1"/>
  <c r="C32" i="33"/>
  <c r="C31" i="33"/>
  <c r="C30" i="33"/>
  <c r="C29" i="33"/>
  <c r="C28" i="33"/>
  <c r="C27" i="33"/>
  <c r="C26" i="33"/>
  <c r="C25" i="33"/>
  <c r="C24" i="33"/>
  <c r="C83" i="14"/>
  <c r="C82" i="14"/>
  <c r="C81" i="14"/>
  <c r="C87" i="14"/>
  <c r="C80" i="14"/>
  <c r="G53" i="14"/>
  <c r="G54" i="14"/>
  <c r="G55" i="14"/>
  <c r="G56" i="14"/>
  <c r="G57" i="14"/>
  <c r="G58" i="14"/>
  <c r="G59" i="14"/>
  <c r="G60" i="14"/>
  <c r="G61" i="14"/>
  <c r="G62" i="14"/>
  <c r="G63" i="14"/>
  <c r="G64" i="14"/>
  <c r="G65" i="14"/>
  <c r="G66" i="14"/>
  <c r="G52"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19" i="14"/>
  <c r="D40" i="11" l="1"/>
  <c r="D67" i="11"/>
  <c r="D68" i="11"/>
  <c r="D66" i="11"/>
  <c r="E59" i="11"/>
  <c r="E60" i="11"/>
  <c r="E61" i="11"/>
  <c r="E62" i="11"/>
  <c r="E63" i="11"/>
  <c r="D60" i="11"/>
  <c r="D61" i="11"/>
  <c r="D62" i="11"/>
  <c r="D63" i="11"/>
  <c r="D59" i="11"/>
  <c r="D53" i="11"/>
  <c r="D54" i="11"/>
  <c r="D52" i="11"/>
  <c r="E46" i="11"/>
  <c r="E47" i="11"/>
  <c r="E48" i="11"/>
  <c r="E49" i="11"/>
  <c r="D48" i="11"/>
  <c r="D49" i="11"/>
  <c r="E45" i="11"/>
  <c r="D46" i="11"/>
  <c r="D47" i="11"/>
  <c r="D45" i="11"/>
  <c r="E34" i="11"/>
  <c r="E35" i="11"/>
  <c r="E55" i="11" l="1"/>
  <c r="E56" i="11" s="1"/>
  <c r="E41" i="11"/>
  <c r="E42" i="11" s="1"/>
  <c r="E69" i="11"/>
  <c r="E70" i="11" s="1"/>
  <c r="H22" i="10"/>
  <c r="H41" i="10"/>
  <c r="B16" i="48"/>
  <c r="D16" i="48"/>
  <c r="E52" i="18"/>
  <c r="D52" i="18"/>
  <c r="C52" i="18"/>
  <c r="L58" i="18"/>
  <c r="M58" i="18"/>
  <c r="N58" i="18"/>
  <c r="E72" i="11" l="1"/>
  <c r="E73" i="11" s="1"/>
  <c r="E74" i="11" s="1"/>
  <c r="B5" i="11" s="1"/>
  <c r="B6" i="11" s="1"/>
  <c r="B8" i="11" s="1"/>
  <c r="E71" i="11"/>
  <c r="K121" i="54"/>
  <c r="F73" i="54"/>
  <c r="E94" i="54" s="1"/>
  <c r="H33" i="10"/>
  <c r="E66" i="67"/>
  <c r="C39" i="67" s="1"/>
  <c r="Q38" i="35" l="1"/>
  <c r="D27" i="48" l="1"/>
  <c r="D22" i="48"/>
  <c r="D32" i="48"/>
  <c r="D35" i="48" s="1"/>
  <c r="F11" i="48"/>
  <c r="D11" i="48"/>
  <c r="B11" i="48"/>
  <c r="E10" i="48"/>
  <c r="C10" i="48"/>
  <c r="A10" i="48"/>
  <c r="D25" i="48" l="1"/>
  <c r="D26" i="48" s="1"/>
  <c r="D30" i="48"/>
  <c r="D31" i="48" s="1"/>
  <c r="D37" i="48" l="1"/>
  <c r="H25" i="10"/>
  <c r="E141" i="66" l="1"/>
  <c r="F142" i="66"/>
  <c r="E142" i="66"/>
  <c r="F141" i="66"/>
  <c r="N27" i="66"/>
  <c r="H27" i="66"/>
  <c r="B27" i="66"/>
  <c r="H18" i="10"/>
  <c r="J565" i="20"/>
  <c r="E535" i="20" s="1"/>
  <c r="H565" i="20"/>
  <c r="D535" i="20" s="1"/>
  <c r="G565" i="20"/>
  <c r="C535" i="20" s="1"/>
  <c r="F565" i="20"/>
  <c r="E527" i="20" s="1"/>
  <c r="E565" i="20"/>
  <c r="D527" i="20" s="1"/>
  <c r="D565" i="20"/>
  <c r="C527" i="20" s="1"/>
  <c r="C565" i="20"/>
  <c r="E519" i="20" s="1"/>
  <c r="D519" i="20"/>
  <c r="A565" i="20"/>
  <c r="C519" i="20" s="1"/>
  <c r="C520" i="20" s="1"/>
  <c r="J564" i="20"/>
  <c r="E532" i="20" s="1"/>
  <c r="H564" i="20"/>
  <c r="D532" i="20" s="1"/>
  <c r="G564" i="20"/>
  <c r="C532" i="20" s="1"/>
  <c r="F564" i="20"/>
  <c r="E524" i="20" s="1"/>
  <c r="E564" i="20"/>
  <c r="D524" i="20" s="1"/>
  <c r="D564" i="20"/>
  <c r="C524" i="20" s="1"/>
  <c r="C564" i="20"/>
  <c r="E516" i="20" s="1"/>
  <c r="B564" i="20"/>
  <c r="D516" i="20" s="1"/>
  <c r="D517" i="20" s="1"/>
  <c r="C516" i="20"/>
  <c r="C552" i="20"/>
  <c r="B552" i="20"/>
  <c r="A552" i="20"/>
  <c r="C554" i="20"/>
  <c r="B554" i="20"/>
  <c r="A554" i="20"/>
  <c r="A553" i="20"/>
  <c r="C553" i="20"/>
  <c r="G552" i="20" s="1"/>
  <c r="G558" i="20" s="1"/>
  <c r="A555" i="20"/>
  <c r="A563" i="20" s="1"/>
  <c r="B555" i="20"/>
  <c r="D563" i="20" s="1"/>
  <c r="C555" i="20"/>
  <c r="G563" i="20" s="1"/>
  <c r="A556" i="20"/>
  <c r="B563" i="20" s="1"/>
  <c r="B556" i="20"/>
  <c r="E563" i="20" s="1"/>
  <c r="C556" i="20"/>
  <c r="H563" i="20" s="1"/>
  <c r="A557" i="20"/>
  <c r="C563" i="20" s="1"/>
  <c r="B557" i="20"/>
  <c r="F563" i="20" s="1"/>
  <c r="C557" i="20"/>
  <c r="J563" i="20" s="1"/>
  <c r="C510" i="20" l="1"/>
  <c r="B510" i="20"/>
  <c r="A562" i="20"/>
  <c r="B562" i="20"/>
  <c r="C562" i="20"/>
  <c r="F562" i="20"/>
  <c r="E562" i="20"/>
  <c r="D562" i="20"/>
  <c r="J562" i="20"/>
  <c r="H562" i="20"/>
  <c r="G562" i="20"/>
  <c r="A137" i="66"/>
  <c r="A104" i="66"/>
  <c r="A117" i="66" s="1"/>
  <c r="A123" i="66"/>
  <c r="A98" i="66"/>
  <c r="A109" i="66" s="1"/>
  <c r="A130" i="66"/>
  <c r="A101" i="66"/>
  <c r="A113" i="66" s="1"/>
  <c r="F127" i="66"/>
  <c r="D134" i="66"/>
  <c r="D142" i="66"/>
  <c r="E128" i="66"/>
  <c r="F135" i="66"/>
  <c r="D128" i="66"/>
  <c r="E135" i="66"/>
  <c r="F134" i="66"/>
  <c r="D141" i="66"/>
  <c r="E127" i="66"/>
  <c r="D127" i="66"/>
  <c r="F128" i="66"/>
  <c r="D135" i="66"/>
  <c r="E134" i="66"/>
  <c r="E552" i="20"/>
  <c r="F552" i="20"/>
  <c r="H42" i="10"/>
  <c r="C44" i="64"/>
  <c r="C43" i="64"/>
  <c r="C42" i="64"/>
  <c r="H30" i="10"/>
  <c r="C136" i="43"/>
  <c r="H32" i="10"/>
  <c r="H34" i="10" s="1"/>
  <c r="S132" i="54"/>
  <c r="S133" i="54"/>
  <c r="S134" i="54"/>
  <c r="S135" i="54"/>
  <c r="S131" i="54"/>
  <c r="R132" i="54"/>
  <c r="R133" i="54"/>
  <c r="R134" i="54"/>
  <c r="R135" i="54"/>
  <c r="R131" i="54"/>
  <c r="Q132" i="54"/>
  <c r="Q133" i="54"/>
  <c r="Q134" i="54"/>
  <c r="Q135" i="54"/>
  <c r="Q131" i="54"/>
  <c r="P132" i="54"/>
  <c r="P133" i="54"/>
  <c r="P134" i="54"/>
  <c r="P135" i="54"/>
  <c r="P131" i="54"/>
  <c r="O132" i="54"/>
  <c r="O133" i="54"/>
  <c r="O134" i="54"/>
  <c r="O135" i="54"/>
  <c r="O131" i="54"/>
  <c r="N132" i="54"/>
  <c r="N133" i="54"/>
  <c r="N134" i="54"/>
  <c r="N135" i="54"/>
  <c r="N131" i="54"/>
  <c r="M132" i="54"/>
  <c r="M133" i="54"/>
  <c r="M134" i="54"/>
  <c r="M135" i="54"/>
  <c r="M131" i="54"/>
  <c r="L132" i="54"/>
  <c r="L133" i="54"/>
  <c r="L134" i="54"/>
  <c r="L135" i="54"/>
  <c r="L131" i="54"/>
  <c r="K132" i="54"/>
  <c r="K133" i="54"/>
  <c r="K134" i="54"/>
  <c r="K135" i="54"/>
  <c r="K131" i="54"/>
  <c r="S122" i="54"/>
  <c r="S123" i="54"/>
  <c r="S124" i="54"/>
  <c r="S125" i="54"/>
  <c r="S121" i="54"/>
  <c r="R122" i="54"/>
  <c r="R123" i="54"/>
  <c r="R124" i="54"/>
  <c r="R125" i="54"/>
  <c r="R121" i="54"/>
  <c r="Q125" i="54"/>
  <c r="Q122" i="54"/>
  <c r="Q123" i="54"/>
  <c r="Q124" i="54"/>
  <c r="P123" i="54"/>
  <c r="P124" i="54"/>
  <c r="P125" i="54"/>
  <c r="O122" i="54"/>
  <c r="O123" i="54"/>
  <c r="O124" i="54"/>
  <c r="O125" i="54"/>
  <c r="O121" i="54"/>
  <c r="N122" i="54"/>
  <c r="N123" i="54"/>
  <c r="N124" i="54"/>
  <c r="N125" i="54"/>
  <c r="N121" i="54"/>
  <c r="M122" i="54"/>
  <c r="M123" i="54"/>
  <c r="M124" i="54"/>
  <c r="M125" i="54"/>
  <c r="M121" i="54"/>
  <c r="L121" i="54"/>
  <c r="L122" i="54"/>
  <c r="L123" i="54"/>
  <c r="L124" i="54"/>
  <c r="L125" i="54"/>
  <c r="K122" i="54"/>
  <c r="K123" i="54"/>
  <c r="K124" i="54"/>
  <c r="K125" i="54"/>
  <c r="S8" i="54"/>
  <c r="AK8" i="54"/>
  <c r="A8" i="54"/>
  <c r="F11" i="50"/>
  <c r="D11" i="50"/>
  <c r="B11" i="45"/>
  <c r="D11" i="52"/>
  <c r="C11" i="52"/>
  <c r="B11" i="52"/>
  <c r="B11" i="18"/>
  <c r="B11" i="57"/>
  <c r="F13" i="20" l="1" a="1"/>
  <c r="F13" i="20" s="1"/>
  <c r="F12" i="20" a="1"/>
  <c r="F12" i="20" s="1"/>
  <c r="E12" i="20" a="1"/>
  <c r="E12" i="20" s="1"/>
  <c r="F11" i="20" a="1"/>
  <c r="F11" i="20" s="1"/>
  <c r="E11" i="20" a="1"/>
  <c r="E11" i="20" s="1"/>
  <c r="E13" i="20" a="1"/>
  <c r="E13" i="20" s="1"/>
  <c r="D520" i="20"/>
  <c r="F508" i="20" a="1"/>
  <c r="F508" i="20" s="1"/>
  <c r="F505" i="20" a="1"/>
  <c r="F505" i="20" s="1"/>
  <c r="F502" i="20" a="1"/>
  <c r="F502" i="20" s="1"/>
  <c r="F498" i="20" a="1"/>
  <c r="F498" i="20" s="1"/>
  <c r="F492" i="20" a="1"/>
  <c r="F492" i="20" s="1"/>
  <c r="F489" i="20" a="1"/>
  <c r="F489" i="20" s="1"/>
  <c r="F486" i="20" a="1"/>
  <c r="F486" i="20" s="1"/>
  <c r="F482" i="20" a="1"/>
  <c r="F482" i="20" s="1"/>
  <c r="F476" i="20" a="1"/>
  <c r="F476" i="20" s="1"/>
  <c r="F473" i="20" a="1"/>
  <c r="F473" i="20" s="1"/>
  <c r="F470" i="20" a="1"/>
  <c r="F470" i="20" s="1"/>
  <c r="F466" i="20" a="1"/>
  <c r="F466" i="20" s="1"/>
  <c r="F460" i="20" a="1"/>
  <c r="F460" i="20" s="1"/>
  <c r="F457" i="20" a="1"/>
  <c r="F457" i="20" s="1"/>
  <c r="F454" i="20" a="1"/>
  <c r="F454" i="20" s="1"/>
  <c r="F450" i="20" a="1"/>
  <c r="F450" i="20" s="1"/>
  <c r="F444" i="20" a="1"/>
  <c r="F444" i="20" s="1"/>
  <c r="F441" i="20" a="1"/>
  <c r="F441" i="20" s="1"/>
  <c r="F438" i="20" a="1"/>
  <c r="F438" i="20" s="1"/>
  <c r="F434" i="20" a="1"/>
  <c r="F434" i="20" s="1"/>
  <c r="F428" i="20" a="1"/>
  <c r="F428" i="20" s="1"/>
  <c r="F425" i="20" a="1"/>
  <c r="F425" i="20" s="1"/>
  <c r="F422" i="20" a="1"/>
  <c r="F422" i="20" s="1"/>
  <c r="F418" i="20" a="1"/>
  <c r="F418" i="20" s="1"/>
  <c r="F412" i="20" a="1"/>
  <c r="F412" i="20" s="1"/>
  <c r="F409" i="20" a="1"/>
  <c r="F409" i="20" s="1"/>
  <c r="F406" i="20" a="1"/>
  <c r="F406" i="20" s="1"/>
  <c r="F402" i="20" a="1"/>
  <c r="F402" i="20" s="1"/>
  <c r="F396" i="20" a="1"/>
  <c r="F396" i="20" s="1"/>
  <c r="F393" i="20" a="1"/>
  <c r="F393" i="20" s="1"/>
  <c r="F390" i="20" a="1"/>
  <c r="F390" i="20" s="1"/>
  <c r="F386" i="20" a="1"/>
  <c r="F386" i="20" s="1"/>
  <c r="F380" i="20" a="1"/>
  <c r="F380" i="20" s="1"/>
  <c r="F377" i="20" a="1"/>
  <c r="F377" i="20" s="1"/>
  <c r="F374" i="20" a="1"/>
  <c r="F374" i="20" s="1"/>
  <c r="F370" i="20" a="1"/>
  <c r="F370" i="20" s="1"/>
  <c r="F364" i="20" a="1"/>
  <c r="F364" i="20" s="1"/>
  <c r="F361" i="20" a="1"/>
  <c r="F361" i="20" s="1"/>
  <c r="F358" i="20" a="1"/>
  <c r="F358" i="20" s="1"/>
  <c r="F354" i="20" a="1"/>
  <c r="F354" i="20" s="1"/>
  <c r="F348" i="20" a="1"/>
  <c r="F348" i="20" s="1"/>
  <c r="F345" i="20" a="1"/>
  <c r="F345" i="20" s="1"/>
  <c r="F342" i="20" a="1"/>
  <c r="F342" i="20" s="1"/>
  <c r="F338" i="20" a="1"/>
  <c r="F338" i="20" s="1"/>
  <c r="F334" i="20" a="1"/>
  <c r="F334" i="20" s="1"/>
  <c r="F330" i="20" a="1"/>
  <c r="F330" i="20" s="1"/>
  <c r="F326" i="20" a="1"/>
  <c r="F326" i="20" s="1"/>
  <c r="F322" i="20" a="1"/>
  <c r="F322" i="20" s="1"/>
  <c r="F318" i="20" a="1"/>
  <c r="F318" i="20" s="1"/>
  <c r="F314" i="20" a="1"/>
  <c r="F314" i="20" s="1"/>
  <c r="F310" i="20" a="1"/>
  <c r="F310" i="20" s="1"/>
  <c r="F306" i="20" a="1"/>
  <c r="F306" i="20" s="1"/>
  <c r="F302" i="20" a="1"/>
  <c r="F302" i="20" s="1"/>
  <c r="F298" i="20" a="1"/>
  <c r="F298" i="20" s="1"/>
  <c r="F294" i="20" a="1"/>
  <c r="F294" i="20" s="1"/>
  <c r="F290" i="20" a="1"/>
  <c r="F290" i="20" s="1"/>
  <c r="F286" i="20" a="1"/>
  <c r="F286" i="20" s="1"/>
  <c r="F282" i="20" a="1"/>
  <c r="F282" i="20" s="1"/>
  <c r="F278" i="20" a="1"/>
  <c r="F278" i="20" s="1"/>
  <c r="F274" i="20" a="1"/>
  <c r="F274" i="20" s="1"/>
  <c r="F270" i="20" a="1"/>
  <c r="F270" i="20" s="1"/>
  <c r="F266" i="20" a="1"/>
  <c r="F266" i="20" s="1"/>
  <c r="F262" i="20" a="1"/>
  <c r="F262" i="20" s="1"/>
  <c r="F258" i="20" a="1"/>
  <c r="F258" i="20" s="1"/>
  <c r="F254" i="20" a="1"/>
  <c r="F254" i="20" s="1"/>
  <c r="F250" i="20" a="1"/>
  <c r="F250" i="20" s="1"/>
  <c r="F246" i="20" a="1"/>
  <c r="F246" i="20" s="1"/>
  <c r="F242" i="20" a="1"/>
  <c r="F242" i="20" s="1"/>
  <c r="F238" i="20" a="1"/>
  <c r="F238" i="20" s="1"/>
  <c r="F507" i="20" a="1"/>
  <c r="F507" i="20" s="1"/>
  <c r="F504" i="20" a="1"/>
  <c r="F504" i="20" s="1"/>
  <c r="F501" i="20" a="1"/>
  <c r="F501" i="20" s="1"/>
  <c r="F495" i="20" a="1"/>
  <c r="F495" i="20" s="1"/>
  <c r="F491" i="20" a="1"/>
  <c r="F491" i="20" s="1"/>
  <c r="F488" i="20" a="1"/>
  <c r="F488" i="20" s="1"/>
  <c r="F485" i="20" a="1"/>
  <c r="F485" i="20" s="1"/>
  <c r="F479" i="20" a="1"/>
  <c r="F479" i="20" s="1"/>
  <c r="F475" i="20" a="1"/>
  <c r="F475" i="20" s="1"/>
  <c r="F472" i="20" a="1"/>
  <c r="F472" i="20" s="1"/>
  <c r="F469" i="20" a="1"/>
  <c r="F469" i="20" s="1"/>
  <c r="F463" i="20" a="1"/>
  <c r="F463" i="20" s="1"/>
  <c r="F459" i="20" a="1"/>
  <c r="F459" i="20" s="1"/>
  <c r="F456" i="20" a="1"/>
  <c r="F456" i="20" s="1"/>
  <c r="F453" i="20" a="1"/>
  <c r="F453" i="20" s="1"/>
  <c r="F447" i="20" a="1"/>
  <c r="F447" i="20" s="1"/>
  <c r="F443" i="20" a="1"/>
  <c r="F443" i="20" s="1"/>
  <c r="F440" i="20" a="1"/>
  <c r="F440" i="20" s="1"/>
  <c r="F437" i="20" a="1"/>
  <c r="F437" i="20" s="1"/>
  <c r="F431" i="20" a="1"/>
  <c r="F431" i="20" s="1"/>
  <c r="F427" i="20" a="1"/>
  <c r="F427" i="20" s="1"/>
  <c r="F424" i="20" a="1"/>
  <c r="F424" i="20" s="1"/>
  <c r="F421" i="20" a="1"/>
  <c r="F421" i="20" s="1"/>
  <c r="F415" i="20" a="1"/>
  <c r="F415" i="20" s="1"/>
  <c r="F411" i="20" a="1"/>
  <c r="F411" i="20" s="1"/>
  <c r="F408" i="20" a="1"/>
  <c r="F408" i="20" s="1"/>
  <c r="F405" i="20" a="1"/>
  <c r="F405" i="20" s="1"/>
  <c r="F399" i="20" a="1"/>
  <c r="F399" i="20" s="1"/>
  <c r="F395" i="20" a="1"/>
  <c r="F395" i="20" s="1"/>
  <c r="F392" i="20" a="1"/>
  <c r="F392" i="20" s="1"/>
  <c r="F389" i="20" a="1"/>
  <c r="F389" i="20" s="1"/>
  <c r="F383" i="20" a="1"/>
  <c r="F383" i="20" s="1"/>
  <c r="F379" i="20" a="1"/>
  <c r="F379" i="20" s="1"/>
  <c r="F376" i="20" a="1"/>
  <c r="F376" i="20" s="1"/>
  <c r="F373" i="20" a="1"/>
  <c r="F373" i="20" s="1"/>
  <c r="F367" i="20" a="1"/>
  <c r="F367" i="20" s="1"/>
  <c r="F363" i="20" a="1"/>
  <c r="F363" i="20" s="1"/>
  <c r="F360" i="20" a="1"/>
  <c r="F360" i="20" s="1"/>
  <c r="F357" i="20" a="1"/>
  <c r="F357" i="20" s="1"/>
  <c r="F351" i="20" a="1"/>
  <c r="F351" i="20" s="1"/>
  <c r="F347" i="20" a="1"/>
  <c r="F347" i="20" s="1"/>
  <c r="F344" i="20" a="1"/>
  <c r="F344" i="20" s="1"/>
  <c r="F341" i="20" a="1"/>
  <c r="F341" i="20" s="1"/>
  <c r="F337" i="20" a="1"/>
  <c r="F337" i="20" s="1"/>
  <c r="F333" i="20" a="1"/>
  <c r="F333" i="20" s="1"/>
  <c r="F329" i="20" a="1"/>
  <c r="F329" i="20" s="1"/>
  <c r="F325" i="20" a="1"/>
  <c r="F325" i="20" s="1"/>
  <c r="F321" i="20" a="1"/>
  <c r="F321" i="20" s="1"/>
  <c r="F317" i="20" a="1"/>
  <c r="F317" i="20" s="1"/>
  <c r="F313" i="20" a="1"/>
  <c r="F313" i="20" s="1"/>
  <c r="F309" i="20" a="1"/>
  <c r="F309" i="20" s="1"/>
  <c r="F305" i="20" a="1"/>
  <c r="F305" i="20" s="1"/>
  <c r="F301" i="20" a="1"/>
  <c r="F301" i="20" s="1"/>
  <c r="F297" i="20" a="1"/>
  <c r="F297" i="20" s="1"/>
  <c r="F293" i="20" a="1"/>
  <c r="F293" i="20" s="1"/>
  <c r="F289" i="20" a="1"/>
  <c r="F289" i="20" s="1"/>
  <c r="F285" i="20" a="1"/>
  <c r="F285" i="20" s="1"/>
  <c r="F281" i="20" a="1"/>
  <c r="F281" i="20" s="1"/>
  <c r="F277" i="20" a="1"/>
  <c r="F277" i="20" s="1"/>
  <c r="F273" i="20" a="1"/>
  <c r="F273" i="20" s="1"/>
  <c r="F269" i="20" a="1"/>
  <c r="F269" i="20" s="1"/>
  <c r="F265" i="20" a="1"/>
  <c r="F265" i="20" s="1"/>
  <c r="F261" i="20" a="1"/>
  <c r="F261" i="20" s="1"/>
  <c r="F257" i="20" a="1"/>
  <c r="F257" i="20" s="1"/>
  <c r="F253" i="20" a="1"/>
  <c r="F253" i="20" s="1"/>
  <c r="F249" i="20" a="1"/>
  <c r="F249" i="20" s="1"/>
  <c r="F245" i="20" a="1"/>
  <c r="F245" i="20" s="1"/>
  <c r="F241" i="20" a="1"/>
  <c r="F241" i="20" s="1"/>
  <c r="F237" i="20" a="1"/>
  <c r="F237" i="20" s="1"/>
  <c r="F510" i="20" a="1"/>
  <c r="F510" i="20" s="1"/>
  <c r="F506" i="20" a="1"/>
  <c r="F506" i="20" s="1"/>
  <c r="F500" i="20" a="1"/>
  <c r="F500" i="20" s="1"/>
  <c r="F497" i="20" a="1"/>
  <c r="F497" i="20" s="1"/>
  <c r="F494" i="20" a="1"/>
  <c r="F494" i="20" s="1"/>
  <c r="F490" i="20" a="1"/>
  <c r="F490" i="20" s="1"/>
  <c r="F484" i="20" a="1"/>
  <c r="F484" i="20" s="1"/>
  <c r="F481" i="20" a="1"/>
  <c r="F481" i="20" s="1"/>
  <c r="F478" i="20" a="1"/>
  <c r="F478" i="20" s="1"/>
  <c r="F474" i="20" a="1"/>
  <c r="F474" i="20" s="1"/>
  <c r="F468" i="20" a="1"/>
  <c r="F468" i="20" s="1"/>
  <c r="F465" i="20" a="1"/>
  <c r="F465" i="20" s="1"/>
  <c r="F462" i="20" a="1"/>
  <c r="F462" i="20" s="1"/>
  <c r="F458" i="20" a="1"/>
  <c r="F458" i="20" s="1"/>
  <c r="F452" i="20" a="1"/>
  <c r="F452" i="20" s="1"/>
  <c r="F449" i="20" a="1"/>
  <c r="F449" i="20" s="1"/>
  <c r="F446" i="20" a="1"/>
  <c r="F446" i="20" s="1"/>
  <c r="F442" i="20" a="1"/>
  <c r="F442" i="20" s="1"/>
  <c r="F436" i="20" a="1"/>
  <c r="F436" i="20" s="1"/>
  <c r="F433" i="20" a="1"/>
  <c r="F433" i="20" s="1"/>
  <c r="F430" i="20" a="1"/>
  <c r="F430" i="20" s="1"/>
  <c r="F426" i="20" a="1"/>
  <c r="F426" i="20" s="1"/>
  <c r="F420" i="20" a="1"/>
  <c r="F420" i="20" s="1"/>
  <c r="F417" i="20" a="1"/>
  <c r="F417" i="20" s="1"/>
  <c r="F414" i="20" a="1"/>
  <c r="F414" i="20" s="1"/>
  <c r="F410" i="20" a="1"/>
  <c r="F410" i="20" s="1"/>
  <c r="F404" i="20" a="1"/>
  <c r="F404" i="20" s="1"/>
  <c r="F401" i="20" a="1"/>
  <c r="F401" i="20" s="1"/>
  <c r="F398" i="20" a="1"/>
  <c r="F398" i="20" s="1"/>
  <c r="F394" i="20" a="1"/>
  <c r="F394" i="20" s="1"/>
  <c r="F388" i="20" a="1"/>
  <c r="F388" i="20" s="1"/>
  <c r="F385" i="20" a="1"/>
  <c r="F385" i="20" s="1"/>
  <c r="F382" i="20" a="1"/>
  <c r="F382" i="20" s="1"/>
  <c r="F378" i="20" a="1"/>
  <c r="F378" i="20" s="1"/>
  <c r="F372" i="20" a="1"/>
  <c r="F372" i="20" s="1"/>
  <c r="F369" i="20" a="1"/>
  <c r="F369" i="20" s="1"/>
  <c r="F366" i="20" a="1"/>
  <c r="F366" i="20" s="1"/>
  <c r="F362" i="20" a="1"/>
  <c r="F362" i="20" s="1"/>
  <c r="F356" i="20" a="1"/>
  <c r="F356" i="20" s="1"/>
  <c r="F353" i="20" a="1"/>
  <c r="F353" i="20" s="1"/>
  <c r="F350" i="20" a="1"/>
  <c r="F350" i="20" s="1"/>
  <c r="F346" i="20" a="1"/>
  <c r="F346" i="20" s="1"/>
  <c r="F340" i="20" a="1"/>
  <c r="F340" i="20" s="1"/>
  <c r="F336" i="20" a="1"/>
  <c r="F336" i="20" s="1"/>
  <c r="F332" i="20" a="1"/>
  <c r="F332" i="20" s="1"/>
  <c r="F328" i="20" a="1"/>
  <c r="F328" i="20" s="1"/>
  <c r="F324" i="20" a="1"/>
  <c r="F324" i="20" s="1"/>
  <c r="F320" i="20" a="1"/>
  <c r="F320" i="20" s="1"/>
  <c r="F316" i="20" a="1"/>
  <c r="F316" i="20" s="1"/>
  <c r="F312" i="20" a="1"/>
  <c r="F312" i="20" s="1"/>
  <c r="F308" i="20" a="1"/>
  <c r="F308" i="20" s="1"/>
  <c r="F304" i="20" a="1"/>
  <c r="F304" i="20" s="1"/>
  <c r="F300" i="20" a="1"/>
  <c r="F300" i="20" s="1"/>
  <c r="F296" i="20" a="1"/>
  <c r="F296" i="20" s="1"/>
  <c r="F292" i="20" a="1"/>
  <c r="F292" i="20" s="1"/>
  <c r="F288" i="20" a="1"/>
  <c r="F288" i="20" s="1"/>
  <c r="F284" i="20" a="1"/>
  <c r="F284" i="20" s="1"/>
  <c r="F280" i="20" a="1"/>
  <c r="F280" i="20" s="1"/>
  <c r="F276" i="20" a="1"/>
  <c r="F276" i="20" s="1"/>
  <c r="F272" i="20" a="1"/>
  <c r="F272" i="20" s="1"/>
  <c r="F268" i="20" a="1"/>
  <c r="F268" i="20" s="1"/>
  <c r="F264" i="20" a="1"/>
  <c r="F264" i="20" s="1"/>
  <c r="F260" i="20" a="1"/>
  <c r="F260" i="20" s="1"/>
  <c r="F256" i="20" a="1"/>
  <c r="F256" i="20" s="1"/>
  <c r="F252" i="20" a="1"/>
  <c r="F252" i="20" s="1"/>
  <c r="F248" i="20" a="1"/>
  <c r="F248" i="20" s="1"/>
  <c r="F244" i="20" a="1"/>
  <c r="F244" i="20" s="1"/>
  <c r="F240" i="20" a="1"/>
  <c r="F240" i="20" s="1"/>
  <c r="F236" i="20" a="1"/>
  <c r="F236" i="20" s="1"/>
  <c r="F232" i="20" a="1"/>
  <c r="F232" i="20" s="1"/>
  <c r="F228" i="20" a="1"/>
  <c r="F228" i="20" s="1"/>
  <c r="F224" i="20" a="1"/>
  <c r="F224" i="20" s="1"/>
  <c r="F220" i="20" a="1"/>
  <c r="F220" i="20" s="1"/>
  <c r="F216" i="20" a="1"/>
  <c r="F216" i="20" s="1"/>
  <c r="F509" i="20" a="1"/>
  <c r="F509" i="20" s="1"/>
  <c r="F503" i="20" a="1"/>
  <c r="F503" i="20" s="1"/>
  <c r="F499" i="20" a="1"/>
  <c r="F499" i="20" s="1"/>
  <c r="F496" i="20" a="1"/>
  <c r="F496" i="20" s="1"/>
  <c r="F493" i="20" a="1"/>
  <c r="F493" i="20" s="1"/>
  <c r="F487" i="20" a="1"/>
  <c r="F487" i="20" s="1"/>
  <c r="F483" i="20" a="1"/>
  <c r="F483" i="20" s="1"/>
  <c r="F480" i="20" a="1"/>
  <c r="F480" i="20" s="1"/>
  <c r="F477" i="20" a="1"/>
  <c r="F477" i="20" s="1"/>
  <c r="F471" i="20" a="1"/>
  <c r="F471" i="20" s="1"/>
  <c r="F467" i="20" a="1"/>
  <c r="F467" i="20" s="1"/>
  <c r="F464" i="20" a="1"/>
  <c r="F464" i="20" s="1"/>
  <c r="F461" i="20" a="1"/>
  <c r="F461" i="20" s="1"/>
  <c r="F455" i="20" a="1"/>
  <c r="F455" i="20" s="1"/>
  <c r="F451" i="20" a="1"/>
  <c r="F451" i="20" s="1"/>
  <c r="F448" i="20" a="1"/>
  <c r="F448" i="20" s="1"/>
  <c r="F445" i="20" a="1"/>
  <c r="F445" i="20" s="1"/>
  <c r="F439" i="20" a="1"/>
  <c r="F439" i="20" s="1"/>
  <c r="F435" i="20" a="1"/>
  <c r="F435" i="20" s="1"/>
  <c r="F432" i="20" a="1"/>
  <c r="F432" i="20" s="1"/>
  <c r="F429" i="20" a="1"/>
  <c r="F429" i="20" s="1"/>
  <c r="F423" i="20" a="1"/>
  <c r="F423" i="20" s="1"/>
  <c r="F419" i="20" a="1"/>
  <c r="F419" i="20" s="1"/>
  <c r="F416" i="20" a="1"/>
  <c r="F416" i="20" s="1"/>
  <c r="F413" i="20" a="1"/>
  <c r="F413" i="20" s="1"/>
  <c r="F407" i="20" a="1"/>
  <c r="F407" i="20" s="1"/>
  <c r="F403" i="20" a="1"/>
  <c r="F403" i="20" s="1"/>
  <c r="F400" i="20" a="1"/>
  <c r="F400" i="20" s="1"/>
  <c r="F397" i="20" a="1"/>
  <c r="F397" i="20" s="1"/>
  <c r="F391" i="20" a="1"/>
  <c r="F391" i="20" s="1"/>
  <c r="F387" i="20" a="1"/>
  <c r="F387" i="20" s="1"/>
  <c r="F384" i="20" a="1"/>
  <c r="F384" i="20" s="1"/>
  <c r="F381" i="20" a="1"/>
  <c r="F381" i="20" s="1"/>
  <c r="F375" i="20" a="1"/>
  <c r="F375" i="20" s="1"/>
  <c r="F371" i="20" a="1"/>
  <c r="F371" i="20" s="1"/>
  <c r="F368" i="20" a="1"/>
  <c r="F368" i="20" s="1"/>
  <c r="F365" i="20" a="1"/>
  <c r="F365" i="20" s="1"/>
  <c r="F359" i="20" a="1"/>
  <c r="F359" i="20" s="1"/>
  <c r="F355" i="20" a="1"/>
  <c r="F355" i="20" s="1"/>
  <c r="F352" i="20" a="1"/>
  <c r="F352" i="20" s="1"/>
  <c r="F349" i="20" a="1"/>
  <c r="F349" i="20" s="1"/>
  <c r="F343" i="20" a="1"/>
  <c r="F343" i="20" s="1"/>
  <c r="F339" i="20" a="1"/>
  <c r="F339" i="20" s="1"/>
  <c r="F335" i="20" a="1"/>
  <c r="F335" i="20" s="1"/>
  <c r="F331" i="20" a="1"/>
  <c r="F331" i="20" s="1"/>
  <c r="F327" i="20" a="1"/>
  <c r="F327" i="20" s="1"/>
  <c r="F323" i="20" a="1"/>
  <c r="F323" i="20" s="1"/>
  <c r="F319" i="20" a="1"/>
  <c r="F319" i="20" s="1"/>
  <c r="F315" i="20" a="1"/>
  <c r="F315" i="20" s="1"/>
  <c r="F311" i="20" a="1"/>
  <c r="F311" i="20" s="1"/>
  <c r="F307" i="20" a="1"/>
  <c r="F307" i="20" s="1"/>
  <c r="F303" i="20" a="1"/>
  <c r="F303" i="20" s="1"/>
  <c r="F299" i="20" a="1"/>
  <c r="F299" i="20" s="1"/>
  <c r="F295" i="20" a="1"/>
  <c r="F295" i="20" s="1"/>
  <c r="F291" i="20" a="1"/>
  <c r="F291" i="20" s="1"/>
  <c r="F287" i="20" a="1"/>
  <c r="F287" i="20" s="1"/>
  <c r="F283" i="20" a="1"/>
  <c r="F283" i="20" s="1"/>
  <c r="F267" i="20" a="1"/>
  <c r="F267" i="20" s="1"/>
  <c r="F251" i="20" a="1"/>
  <c r="F251" i="20" s="1"/>
  <c r="F235" i="20" a="1"/>
  <c r="F235" i="20" s="1"/>
  <c r="F230" i="20" a="1"/>
  <c r="F230" i="20" s="1"/>
  <c r="F225" i="20" a="1"/>
  <c r="F225" i="20" s="1"/>
  <c r="F219" i="20" a="1"/>
  <c r="F219" i="20" s="1"/>
  <c r="F214" i="20" a="1"/>
  <c r="F214" i="20" s="1"/>
  <c r="F211" i="20" a="1"/>
  <c r="F211" i="20" s="1"/>
  <c r="F208" i="20" a="1"/>
  <c r="F208" i="20" s="1"/>
  <c r="F205" i="20" a="1"/>
  <c r="F205" i="20" s="1"/>
  <c r="F201" i="20" a="1"/>
  <c r="F201" i="20" s="1"/>
  <c r="F197" i="20" a="1"/>
  <c r="F197" i="20" s="1"/>
  <c r="F193" i="20" a="1"/>
  <c r="F193" i="20" s="1"/>
  <c r="F189" i="20" a="1"/>
  <c r="F189" i="20" s="1"/>
  <c r="F185" i="20" a="1"/>
  <c r="F185" i="20" s="1"/>
  <c r="F181" i="20" a="1"/>
  <c r="F181" i="20" s="1"/>
  <c r="F177" i="20" a="1"/>
  <c r="F177" i="20" s="1"/>
  <c r="F173" i="20" a="1"/>
  <c r="F173" i="20" s="1"/>
  <c r="F169" i="20" a="1"/>
  <c r="F169" i="20" s="1"/>
  <c r="F165" i="20" a="1"/>
  <c r="F165" i="20" s="1"/>
  <c r="F161" i="20" a="1"/>
  <c r="F161" i="20" s="1"/>
  <c r="F157" i="20" a="1"/>
  <c r="F157" i="20" s="1"/>
  <c r="F153" i="20" a="1"/>
  <c r="F153" i="20" s="1"/>
  <c r="F149" i="20" a="1"/>
  <c r="F149" i="20" s="1"/>
  <c r="F145" i="20" a="1"/>
  <c r="F145" i="20" s="1"/>
  <c r="F141" i="20" a="1"/>
  <c r="F141" i="20" s="1"/>
  <c r="F137" i="20" a="1"/>
  <c r="F137" i="20" s="1"/>
  <c r="F133" i="20" a="1"/>
  <c r="F133" i="20" s="1"/>
  <c r="F129" i="20" a="1"/>
  <c r="F129" i="20" s="1"/>
  <c r="F125" i="20" a="1"/>
  <c r="F125" i="20" s="1"/>
  <c r="F121" i="20" a="1"/>
  <c r="F121" i="20" s="1"/>
  <c r="F117" i="20" a="1"/>
  <c r="F117" i="20" s="1"/>
  <c r="F113" i="20" a="1"/>
  <c r="F113" i="20" s="1"/>
  <c r="F109" i="20" a="1"/>
  <c r="F109" i="20" s="1"/>
  <c r="F105" i="20" a="1"/>
  <c r="F105" i="20" s="1"/>
  <c r="F101" i="20" a="1"/>
  <c r="F101" i="20" s="1"/>
  <c r="F97" i="20" a="1"/>
  <c r="F97" i="20" s="1"/>
  <c r="F93" i="20" a="1"/>
  <c r="F93" i="20" s="1"/>
  <c r="F89" i="20" a="1"/>
  <c r="F89" i="20" s="1"/>
  <c r="F85" i="20" a="1"/>
  <c r="F85" i="20" s="1"/>
  <c r="F81" i="20" a="1"/>
  <c r="F81" i="20" s="1"/>
  <c r="F77" i="20" a="1"/>
  <c r="F77" i="20" s="1"/>
  <c r="F73" i="20" a="1"/>
  <c r="F73" i="20" s="1"/>
  <c r="F69" i="20" a="1"/>
  <c r="F69" i="20" s="1"/>
  <c r="F65" i="20" a="1"/>
  <c r="F65" i="20" s="1"/>
  <c r="F61" i="20" a="1"/>
  <c r="F61" i="20" s="1"/>
  <c r="F57" i="20" a="1"/>
  <c r="F57" i="20" s="1"/>
  <c r="F53" i="20" a="1"/>
  <c r="F53" i="20" s="1"/>
  <c r="F49" i="20" a="1"/>
  <c r="F49" i="20" s="1"/>
  <c r="F45" i="20" a="1"/>
  <c r="F45" i="20" s="1"/>
  <c r="F41" i="20" a="1"/>
  <c r="F41" i="20" s="1"/>
  <c r="F37" i="20" a="1"/>
  <c r="F37" i="20" s="1"/>
  <c r="F28" i="20" a="1"/>
  <c r="F28" i="20" s="1"/>
  <c r="F22" i="20" a="1"/>
  <c r="F22" i="20" s="1"/>
  <c r="F18" i="20" a="1"/>
  <c r="F18" i="20" s="1"/>
  <c r="F14" i="20" a="1"/>
  <c r="F14" i="20" s="1"/>
  <c r="F255" i="20" a="1"/>
  <c r="F255" i="20" s="1"/>
  <c r="F239" i="20" a="1"/>
  <c r="F239" i="20" s="1"/>
  <c r="F226" i="20" a="1"/>
  <c r="F226" i="20" s="1"/>
  <c r="F209" i="20" a="1"/>
  <c r="F209" i="20" s="1"/>
  <c r="F202" i="20" a="1"/>
  <c r="F202" i="20" s="1"/>
  <c r="F190" i="20" a="1"/>
  <c r="F190" i="20" s="1"/>
  <c r="F178" i="20" a="1"/>
  <c r="F178" i="20" s="1"/>
  <c r="F166" i="20" a="1"/>
  <c r="F166" i="20" s="1"/>
  <c r="F154" i="20" a="1"/>
  <c r="F154" i="20" s="1"/>
  <c r="F142" i="20" a="1"/>
  <c r="F142" i="20" s="1"/>
  <c r="F130" i="20" a="1"/>
  <c r="F130" i="20" s="1"/>
  <c r="F118" i="20" a="1"/>
  <c r="F118" i="20" s="1"/>
  <c r="F106" i="20" a="1"/>
  <c r="F106" i="20" s="1"/>
  <c r="F94" i="20" a="1"/>
  <c r="F94" i="20" s="1"/>
  <c r="F82" i="20" a="1"/>
  <c r="F82" i="20" s="1"/>
  <c r="F70" i="20" a="1"/>
  <c r="F70" i="20" s="1"/>
  <c r="F58" i="20" a="1"/>
  <c r="F58" i="20" s="1"/>
  <c r="F46" i="20" a="1"/>
  <c r="F46" i="20" s="1"/>
  <c r="F34" i="20" a="1"/>
  <c r="F34" i="20" s="1"/>
  <c r="F26" i="20" a="1"/>
  <c r="F26" i="20" s="1"/>
  <c r="F15" i="20" a="1"/>
  <c r="F15" i="20" s="1"/>
  <c r="F279" i="20" a="1"/>
  <c r="F279" i="20" s="1"/>
  <c r="F263" i="20" a="1"/>
  <c r="F263" i="20" s="1"/>
  <c r="F247" i="20" a="1"/>
  <c r="F247" i="20" s="1"/>
  <c r="F234" i="20" a="1"/>
  <c r="F234" i="20" s="1"/>
  <c r="F229" i="20" a="1"/>
  <c r="F229" i="20" s="1"/>
  <c r="F223" i="20" a="1"/>
  <c r="F223" i="20" s="1"/>
  <c r="F218" i="20" a="1"/>
  <c r="F218" i="20" s="1"/>
  <c r="F213" i="20" a="1"/>
  <c r="F213" i="20" s="1"/>
  <c r="F210" i="20" a="1"/>
  <c r="F210" i="20" s="1"/>
  <c r="F204" i="20" a="1"/>
  <c r="F204" i="20" s="1"/>
  <c r="F200" i="20" a="1"/>
  <c r="F200" i="20" s="1"/>
  <c r="F196" i="20" a="1"/>
  <c r="F196" i="20" s="1"/>
  <c r="F192" i="20" a="1"/>
  <c r="F192" i="20" s="1"/>
  <c r="F188" i="20" a="1"/>
  <c r="F188" i="20" s="1"/>
  <c r="F184" i="20" a="1"/>
  <c r="F184" i="20" s="1"/>
  <c r="F180" i="20" a="1"/>
  <c r="F180" i="20" s="1"/>
  <c r="F176" i="20" a="1"/>
  <c r="F176" i="20" s="1"/>
  <c r="F172" i="20" a="1"/>
  <c r="F172" i="20" s="1"/>
  <c r="F168" i="20" a="1"/>
  <c r="F168" i="20" s="1"/>
  <c r="F164" i="20" a="1"/>
  <c r="F164" i="20" s="1"/>
  <c r="F160" i="20" a="1"/>
  <c r="F160" i="20" s="1"/>
  <c r="F156" i="20" a="1"/>
  <c r="F156" i="20" s="1"/>
  <c r="F152" i="20" a="1"/>
  <c r="F152" i="20" s="1"/>
  <c r="F148" i="20" a="1"/>
  <c r="F148" i="20" s="1"/>
  <c r="F144" i="20" a="1"/>
  <c r="F144" i="20" s="1"/>
  <c r="F140" i="20" a="1"/>
  <c r="F140" i="20" s="1"/>
  <c r="F136" i="20" a="1"/>
  <c r="F136" i="20" s="1"/>
  <c r="F132" i="20" a="1"/>
  <c r="F132" i="20" s="1"/>
  <c r="F128" i="20" a="1"/>
  <c r="F128" i="20" s="1"/>
  <c r="F124" i="20" a="1"/>
  <c r="F124" i="20" s="1"/>
  <c r="F120" i="20" a="1"/>
  <c r="F120" i="20" s="1"/>
  <c r="F116" i="20" a="1"/>
  <c r="F116" i="20" s="1"/>
  <c r="F112" i="20" a="1"/>
  <c r="F112" i="20" s="1"/>
  <c r="F108" i="20" a="1"/>
  <c r="F108" i="20" s="1"/>
  <c r="F104" i="20" a="1"/>
  <c r="F104" i="20" s="1"/>
  <c r="F100" i="20" a="1"/>
  <c r="F100" i="20" s="1"/>
  <c r="F96" i="20" a="1"/>
  <c r="F96" i="20" s="1"/>
  <c r="F92" i="20" a="1"/>
  <c r="F92" i="20" s="1"/>
  <c r="F88" i="20" a="1"/>
  <c r="F88" i="20" s="1"/>
  <c r="F84" i="20" a="1"/>
  <c r="F84" i="20" s="1"/>
  <c r="F80" i="20" a="1"/>
  <c r="F80" i="20" s="1"/>
  <c r="F76" i="20" a="1"/>
  <c r="F76" i="20" s="1"/>
  <c r="F72" i="20" a="1"/>
  <c r="F72" i="20" s="1"/>
  <c r="F68" i="20" a="1"/>
  <c r="F68" i="20" s="1"/>
  <c r="F64" i="20" a="1"/>
  <c r="F64" i="20" s="1"/>
  <c r="F60" i="20" a="1"/>
  <c r="F60" i="20" s="1"/>
  <c r="F56" i="20" a="1"/>
  <c r="F56" i="20" s="1"/>
  <c r="F52" i="20" a="1"/>
  <c r="F52" i="20" s="1"/>
  <c r="F48" i="20" a="1"/>
  <c r="F48" i="20" s="1"/>
  <c r="F44" i="20" a="1"/>
  <c r="F44" i="20" s="1"/>
  <c r="F40" i="20" a="1"/>
  <c r="F40" i="20" s="1"/>
  <c r="F36" i="20" a="1"/>
  <c r="F36" i="20" s="1"/>
  <c r="F33" i="20" a="1"/>
  <c r="F33" i="20" s="1"/>
  <c r="F31" i="20" a="1"/>
  <c r="F31" i="20" s="1"/>
  <c r="F25" i="20" a="1"/>
  <c r="F25" i="20" s="1"/>
  <c r="F21" i="20" a="1"/>
  <c r="F21" i="20" s="1"/>
  <c r="F17" i="20" a="1"/>
  <c r="F17" i="20" s="1"/>
  <c r="F271" i="20" a="1"/>
  <c r="F271" i="20" s="1"/>
  <c r="F231" i="20" a="1"/>
  <c r="F231" i="20" s="1"/>
  <c r="F221" i="20" a="1"/>
  <c r="F221" i="20" s="1"/>
  <c r="F206" i="20" a="1"/>
  <c r="F206" i="20" s="1"/>
  <c r="F198" i="20" a="1"/>
  <c r="F198" i="20" s="1"/>
  <c r="F186" i="20" a="1"/>
  <c r="F186" i="20" s="1"/>
  <c r="F174" i="20" a="1"/>
  <c r="F174" i="20" s="1"/>
  <c r="F162" i="20" a="1"/>
  <c r="F162" i="20" s="1"/>
  <c r="F150" i="20" a="1"/>
  <c r="F150" i="20" s="1"/>
  <c r="F138" i="20" a="1"/>
  <c r="F138" i="20" s="1"/>
  <c r="F126" i="20" a="1"/>
  <c r="F126" i="20" s="1"/>
  <c r="F114" i="20" a="1"/>
  <c r="F114" i="20" s="1"/>
  <c r="F102" i="20" a="1"/>
  <c r="F102" i="20" s="1"/>
  <c r="F90" i="20" a="1"/>
  <c r="F90" i="20" s="1"/>
  <c r="F78" i="20" a="1"/>
  <c r="F78" i="20" s="1"/>
  <c r="F66" i="20" a="1"/>
  <c r="F66" i="20" s="1"/>
  <c r="F54" i="20" a="1"/>
  <c r="F54" i="20" s="1"/>
  <c r="F42" i="20" a="1"/>
  <c r="F42" i="20" s="1"/>
  <c r="F32" i="20" a="1"/>
  <c r="F32" i="20" s="1"/>
  <c r="F23" i="20" a="1"/>
  <c r="F23" i="20" s="1"/>
  <c r="F275" i="20" a="1"/>
  <c r="F275" i="20" s="1"/>
  <c r="F259" i="20" a="1"/>
  <c r="F259" i="20" s="1"/>
  <c r="F243" i="20" a="1"/>
  <c r="F243" i="20" s="1"/>
  <c r="F233" i="20" a="1"/>
  <c r="F233" i="20" s="1"/>
  <c r="F227" i="20" a="1"/>
  <c r="F227" i="20" s="1"/>
  <c r="F222" i="20" a="1"/>
  <c r="F222" i="20" s="1"/>
  <c r="F217" i="20" a="1"/>
  <c r="F217" i="20" s="1"/>
  <c r="F212" i="20" a="1"/>
  <c r="F212" i="20" s="1"/>
  <c r="F207" i="20" a="1"/>
  <c r="F207" i="20" s="1"/>
  <c r="F203" i="20" a="1"/>
  <c r="F203" i="20" s="1"/>
  <c r="F199" i="20" a="1"/>
  <c r="F199" i="20" s="1"/>
  <c r="F195" i="20" a="1"/>
  <c r="F195" i="20" s="1"/>
  <c r="F191" i="20" a="1"/>
  <c r="F191" i="20" s="1"/>
  <c r="F187" i="20" a="1"/>
  <c r="F187" i="20" s="1"/>
  <c r="F183" i="20" a="1"/>
  <c r="F183" i="20" s="1"/>
  <c r="F179" i="20" a="1"/>
  <c r="F179" i="20" s="1"/>
  <c r="F175" i="20" a="1"/>
  <c r="F175" i="20" s="1"/>
  <c r="F171" i="20" a="1"/>
  <c r="F171" i="20" s="1"/>
  <c r="F167" i="20" a="1"/>
  <c r="F167" i="20" s="1"/>
  <c r="F163" i="20" a="1"/>
  <c r="F163" i="20" s="1"/>
  <c r="F159" i="20" a="1"/>
  <c r="F159" i="20" s="1"/>
  <c r="F155" i="20" a="1"/>
  <c r="F155" i="20" s="1"/>
  <c r="F151" i="20" a="1"/>
  <c r="F151" i="20" s="1"/>
  <c r="F147" i="20" a="1"/>
  <c r="F147" i="20" s="1"/>
  <c r="F143" i="20" a="1"/>
  <c r="F143" i="20" s="1"/>
  <c r="F139" i="20" a="1"/>
  <c r="F139" i="20" s="1"/>
  <c r="F135" i="20" a="1"/>
  <c r="F135" i="20" s="1"/>
  <c r="F131" i="20" a="1"/>
  <c r="F131" i="20" s="1"/>
  <c r="F127" i="20" a="1"/>
  <c r="F127" i="20" s="1"/>
  <c r="F123" i="20" a="1"/>
  <c r="F123" i="20" s="1"/>
  <c r="F119" i="20" a="1"/>
  <c r="F119" i="20" s="1"/>
  <c r="F115" i="20" a="1"/>
  <c r="F115" i="20" s="1"/>
  <c r="F111" i="20" a="1"/>
  <c r="F111" i="20" s="1"/>
  <c r="F107" i="20" a="1"/>
  <c r="F107" i="20" s="1"/>
  <c r="F103" i="20" a="1"/>
  <c r="F103" i="20" s="1"/>
  <c r="F99" i="20" a="1"/>
  <c r="F99" i="20" s="1"/>
  <c r="F95" i="20" a="1"/>
  <c r="F95" i="20" s="1"/>
  <c r="F91" i="20" a="1"/>
  <c r="F91" i="20" s="1"/>
  <c r="F87" i="20" a="1"/>
  <c r="F87" i="20" s="1"/>
  <c r="F83" i="20" a="1"/>
  <c r="F83" i="20" s="1"/>
  <c r="F79" i="20" a="1"/>
  <c r="F79" i="20" s="1"/>
  <c r="F75" i="20" a="1"/>
  <c r="F75" i="20" s="1"/>
  <c r="F71" i="20" a="1"/>
  <c r="F71" i="20" s="1"/>
  <c r="F67" i="20" a="1"/>
  <c r="F67" i="20" s="1"/>
  <c r="F63" i="20" a="1"/>
  <c r="F63" i="20" s="1"/>
  <c r="F59" i="20" a="1"/>
  <c r="F59" i="20" s="1"/>
  <c r="F55" i="20" a="1"/>
  <c r="F55" i="20" s="1"/>
  <c r="F51" i="20" a="1"/>
  <c r="F51" i="20" s="1"/>
  <c r="F47" i="20" a="1"/>
  <c r="F47" i="20" s="1"/>
  <c r="F43" i="20" a="1"/>
  <c r="F43" i="20" s="1"/>
  <c r="F39" i="20" a="1"/>
  <c r="F39" i="20" s="1"/>
  <c r="F35" i="20" a="1"/>
  <c r="F35" i="20" s="1"/>
  <c r="F30" i="20" a="1"/>
  <c r="F30" i="20" s="1"/>
  <c r="F27" i="20" a="1"/>
  <c r="F27" i="20" s="1"/>
  <c r="F24" i="20" a="1"/>
  <c r="F24" i="20" s="1"/>
  <c r="F20" i="20" a="1"/>
  <c r="F20" i="20" s="1"/>
  <c r="F16" i="20" a="1"/>
  <c r="F16" i="20" s="1"/>
  <c r="F215" i="20" a="1"/>
  <c r="F215" i="20" s="1"/>
  <c r="F194" i="20" a="1"/>
  <c r="F194" i="20" s="1"/>
  <c r="F182" i="20" a="1"/>
  <c r="F182" i="20" s="1"/>
  <c r="F170" i="20" a="1"/>
  <c r="F170" i="20" s="1"/>
  <c r="F158" i="20" a="1"/>
  <c r="F158" i="20" s="1"/>
  <c r="F146" i="20" a="1"/>
  <c r="F146" i="20" s="1"/>
  <c r="F134" i="20" a="1"/>
  <c r="F134" i="20" s="1"/>
  <c r="F122" i="20" a="1"/>
  <c r="F122" i="20" s="1"/>
  <c r="F110" i="20" a="1"/>
  <c r="F110" i="20" s="1"/>
  <c r="F98" i="20" a="1"/>
  <c r="F98" i="20" s="1"/>
  <c r="F86" i="20" a="1"/>
  <c r="F86" i="20" s="1"/>
  <c r="F74" i="20" a="1"/>
  <c r="F74" i="20" s="1"/>
  <c r="F62" i="20" a="1"/>
  <c r="F62" i="20" s="1"/>
  <c r="F50" i="20" a="1"/>
  <c r="F50" i="20" s="1"/>
  <c r="F38" i="20" a="1"/>
  <c r="F38" i="20" s="1"/>
  <c r="F29" i="20" a="1"/>
  <c r="F29" i="20" s="1"/>
  <c r="F19" i="20" a="1"/>
  <c r="F19" i="20" s="1"/>
  <c r="M126" i="54"/>
  <c r="H95" i="54" s="1"/>
  <c r="E507" i="20" a="1"/>
  <c r="E507" i="20" s="1"/>
  <c r="E504" i="20" a="1"/>
  <c r="E504" i="20" s="1"/>
  <c r="E497" i="20" a="1"/>
  <c r="E497" i="20" s="1"/>
  <c r="E493" i="20" a="1"/>
  <c r="E493" i="20" s="1"/>
  <c r="E489" i="20" a="1"/>
  <c r="E489" i="20" s="1"/>
  <c r="E485" i="20" a="1"/>
  <c r="E485" i="20" s="1"/>
  <c r="E481" i="20" a="1"/>
  <c r="E481" i="20" s="1"/>
  <c r="E477" i="20" a="1"/>
  <c r="E477" i="20" s="1"/>
  <c r="E473" i="20" a="1"/>
  <c r="E473" i="20" s="1"/>
  <c r="E469" i="20" a="1"/>
  <c r="E469" i="20" s="1"/>
  <c r="E465" i="20" a="1"/>
  <c r="E465" i="20" s="1"/>
  <c r="E461" i="20" a="1"/>
  <c r="E461" i="20" s="1"/>
  <c r="E457" i="20" a="1"/>
  <c r="E457" i="20" s="1"/>
  <c r="E453" i="20" a="1"/>
  <c r="E453" i="20" s="1"/>
  <c r="E449" i="20" a="1"/>
  <c r="E449" i="20" s="1"/>
  <c r="E445" i="20" a="1"/>
  <c r="E445" i="20" s="1"/>
  <c r="E441" i="20" a="1"/>
  <c r="E441" i="20" s="1"/>
  <c r="E437" i="20" a="1"/>
  <c r="E437" i="20" s="1"/>
  <c r="E433" i="20" a="1"/>
  <c r="E433" i="20" s="1"/>
  <c r="E429" i="20" a="1"/>
  <c r="E429" i="20" s="1"/>
  <c r="E425" i="20" a="1"/>
  <c r="E425" i="20" s="1"/>
  <c r="E421" i="20" a="1"/>
  <c r="E421" i="20" s="1"/>
  <c r="E417" i="20" a="1"/>
  <c r="E417" i="20" s="1"/>
  <c r="E413" i="20" a="1"/>
  <c r="E413" i="20" s="1"/>
  <c r="E409" i="20" a="1"/>
  <c r="E409" i="20" s="1"/>
  <c r="E405" i="20" a="1"/>
  <c r="E405" i="20" s="1"/>
  <c r="E401" i="20" a="1"/>
  <c r="E401" i="20" s="1"/>
  <c r="E397" i="20" a="1"/>
  <c r="E397" i="20" s="1"/>
  <c r="E393" i="20" a="1"/>
  <c r="E393" i="20" s="1"/>
  <c r="E389" i="20" a="1"/>
  <c r="E389" i="20" s="1"/>
  <c r="E385" i="20" a="1"/>
  <c r="E385" i="20" s="1"/>
  <c r="E381" i="20" a="1"/>
  <c r="E381" i="20" s="1"/>
  <c r="E377" i="20" a="1"/>
  <c r="E377" i="20" s="1"/>
  <c r="E373" i="20" a="1"/>
  <c r="E373" i="20" s="1"/>
  <c r="E369" i="20" a="1"/>
  <c r="E369" i="20" s="1"/>
  <c r="E365" i="20" a="1"/>
  <c r="E365" i="20" s="1"/>
  <c r="E361" i="20" a="1"/>
  <c r="E361" i="20" s="1"/>
  <c r="E357" i="20" a="1"/>
  <c r="E357" i="20" s="1"/>
  <c r="E353" i="20" a="1"/>
  <c r="E353" i="20" s="1"/>
  <c r="E349" i="20" a="1"/>
  <c r="E349" i="20" s="1"/>
  <c r="E345" i="20" a="1"/>
  <c r="E345" i="20" s="1"/>
  <c r="E341" i="20" a="1"/>
  <c r="E341" i="20" s="1"/>
  <c r="E337" i="20" a="1"/>
  <c r="E337" i="20" s="1"/>
  <c r="E333" i="20" a="1"/>
  <c r="E333" i="20" s="1"/>
  <c r="E329" i="20" a="1"/>
  <c r="E329" i="20" s="1"/>
  <c r="E325" i="20" a="1"/>
  <c r="E325" i="20" s="1"/>
  <c r="E321" i="20" a="1"/>
  <c r="E321" i="20" s="1"/>
  <c r="E317" i="20" a="1"/>
  <c r="E317" i="20" s="1"/>
  <c r="E313" i="20" a="1"/>
  <c r="E313" i="20" s="1"/>
  <c r="E309" i="20" a="1"/>
  <c r="E309" i="20" s="1"/>
  <c r="E305" i="20" a="1"/>
  <c r="E305" i="20" s="1"/>
  <c r="E301" i="20" a="1"/>
  <c r="E301" i="20" s="1"/>
  <c r="E297" i="20" a="1"/>
  <c r="E297" i="20" s="1"/>
  <c r="E293" i="20" a="1"/>
  <c r="E293" i="20" s="1"/>
  <c r="E289" i="20" a="1"/>
  <c r="E289" i="20" s="1"/>
  <c r="E285" i="20" a="1"/>
  <c r="E285" i="20" s="1"/>
  <c r="E281" i="20" a="1"/>
  <c r="E281" i="20" s="1"/>
  <c r="E277" i="20" a="1"/>
  <c r="E277" i="20" s="1"/>
  <c r="E273" i="20" a="1"/>
  <c r="E273" i="20" s="1"/>
  <c r="E269" i="20" a="1"/>
  <c r="E269" i="20" s="1"/>
  <c r="E265" i="20" a="1"/>
  <c r="E265" i="20" s="1"/>
  <c r="E261" i="20" a="1"/>
  <c r="E261" i="20" s="1"/>
  <c r="E257" i="20" a="1"/>
  <c r="E257" i="20" s="1"/>
  <c r="E253" i="20" a="1"/>
  <c r="E253" i="20" s="1"/>
  <c r="E249" i="20" a="1"/>
  <c r="E249" i="20" s="1"/>
  <c r="E245" i="20" a="1"/>
  <c r="E245" i="20" s="1"/>
  <c r="E241" i="20" a="1"/>
  <c r="E241" i="20" s="1"/>
  <c r="E237" i="20" a="1"/>
  <c r="E237" i="20" s="1"/>
  <c r="E233" i="20" a="1"/>
  <c r="E233" i="20" s="1"/>
  <c r="E229" i="20" a="1"/>
  <c r="E229" i="20" s="1"/>
  <c r="E225" i="20" a="1"/>
  <c r="E225" i="20" s="1"/>
  <c r="E221" i="20" a="1"/>
  <c r="E221" i="20" s="1"/>
  <c r="E217" i="20" a="1"/>
  <c r="E217" i="20" s="1"/>
  <c r="E213" i="20" a="1"/>
  <c r="E213" i="20" s="1"/>
  <c r="E209" i="20" a="1"/>
  <c r="E209" i="20" s="1"/>
  <c r="E205" i="20" a="1"/>
  <c r="E205" i="20" s="1"/>
  <c r="E201" i="20" a="1"/>
  <c r="E201" i="20" s="1"/>
  <c r="E197" i="20" a="1"/>
  <c r="E197" i="20" s="1"/>
  <c r="E193" i="20" a="1"/>
  <c r="E193" i="20" s="1"/>
  <c r="E189" i="20" a="1"/>
  <c r="E189" i="20" s="1"/>
  <c r="E185" i="20" a="1"/>
  <c r="E185" i="20" s="1"/>
  <c r="E181" i="20" a="1"/>
  <c r="E181" i="20" s="1"/>
  <c r="E177" i="20" a="1"/>
  <c r="E177" i="20" s="1"/>
  <c r="E173" i="20" a="1"/>
  <c r="E173" i="20" s="1"/>
  <c r="E509" i="20" a="1"/>
  <c r="E509" i="20" s="1"/>
  <c r="E506" i="20" a="1"/>
  <c r="E506" i="20" s="1"/>
  <c r="E501" i="20" a="1"/>
  <c r="E501" i="20" s="1"/>
  <c r="E496" i="20" a="1"/>
  <c r="E496" i="20" s="1"/>
  <c r="E491" i="20" a="1"/>
  <c r="E491" i="20" s="1"/>
  <c r="E486" i="20" a="1"/>
  <c r="E486" i="20" s="1"/>
  <c r="E480" i="20" a="1"/>
  <c r="E480" i="20" s="1"/>
  <c r="E475" i="20" a="1"/>
  <c r="E475" i="20" s="1"/>
  <c r="E470" i="20" a="1"/>
  <c r="E470" i="20" s="1"/>
  <c r="E464" i="20" a="1"/>
  <c r="E464" i="20" s="1"/>
  <c r="E459" i="20" a="1"/>
  <c r="E459" i="20" s="1"/>
  <c r="E454" i="20" a="1"/>
  <c r="E454" i="20" s="1"/>
  <c r="E448" i="20" a="1"/>
  <c r="E448" i="20" s="1"/>
  <c r="E443" i="20" a="1"/>
  <c r="E443" i="20" s="1"/>
  <c r="E438" i="20" a="1"/>
  <c r="E438" i="20" s="1"/>
  <c r="E432" i="20" a="1"/>
  <c r="E432" i="20" s="1"/>
  <c r="E427" i="20" a="1"/>
  <c r="E427" i="20" s="1"/>
  <c r="E422" i="20" a="1"/>
  <c r="E422" i="20" s="1"/>
  <c r="E416" i="20" a="1"/>
  <c r="E416" i="20" s="1"/>
  <c r="E411" i="20" a="1"/>
  <c r="E411" i="20" s="1"/>
  <c r="E406" i="20" a="1"/>
  <c r="E406" i="20" s="1"/>
  <c r="E400" i="20" a="1"/>
  <c r="E400" i="20" s="1"/>
  <c r="E395" i="20" a="1"/>
  <c r="E395" i="20" s="1"/>
  <c r="E390" i="20" a="1"/>
  <c r="E390" i="20" s="1"/>
  <c r="E384" i="20" a="1"/>
  <c r="E384" i="20" s="1"/>
  <c r="E379" i="20" a="1"/>
  <c r="E379" i="20" s="1"/>
  <c r="E374" i="20" a="1"/>
  <c r="E374" i="20" s="1"/>
  <c r="E368" i="20" a="1"/>
  <c r="E368" i="20" s="1"/>
  <c r="E363" i="20" a="1"/>
  <c r="E363" i="20" s="1"/>
  <c r="E358" i="20" a="1"/>
  <c r="E358" i="20" s="1"/>
  <c r="E352" i="20" a="1"/>
  <c r="E352" i="20" s="1"/>
  <c r="E347" i="20" a="1"/>
  <c r="E347" i="20" s="1"/>
  <c r="E342" i="20" a="1"/>
  <c r="E342" i="20" s="1"/>
  <c r="E336" i="20" a="1"/>
  <c r="E336" i="20" s="1"/>
  <c r="E331" i="20" a="1"/>
  <c r="E331" i="20" s="1"/>
  <c r="E326" i="20" a="1"/>
  <c r="E326" i="20" s="1"/>
  <c r="E320" i="20" a="1"/>
  <c r="E320" i="20" s="1"/>
  <c r="E315" i="20" a="1"/>
  <c r="E315" i="20" s="1"/>
  <c r="E310" i="20" a="1"/>
  <c r="E310" i="20" s="1"/>
  <c r="E304" i="20" a="1"/>
  <c r="E304" i="20" s="1"/>
  <c r="E299" i="20" a="1"/>
  <c r="E299" i="20" s="1"/>
  <c r="E294" i="20" a="1"/>
  <c r="E294" i="20" s="1"/>
  <c r="E288" i="20" a="1"/>
  <c r="E288" i="20" s="1"/>
  <c r="E283" i="20" a="1"/>
  <c r="E283" i="20" s="1"/>
  <c r="E278" i="20" a="1"/>
  <c r="E278" i="20" s="1"/>
  <c r="E272" i="20" a="1"/>
  <c r="E272" i="20" s="1"/>
  <c r="E267" i="20" a="1"/>
  <c r="E267" i="20" s="1"/>
  <c r="E262" i="20" a="1"/>
  <c r="E262" i="20" s="1"/>
  <c r="E256" i="20" a="1"/>
  <c r="E256" i="20" s="1"/>
  <c r="E251" i="20" a="1"/>
  <c r="E251" i="20" s="1"/>
  <c r="E246" i="20" a="1"/>
  <c r="E246" i="20" s="1"/>
  <c r="E240" i="20" a="1"/>
  <c r="E240" i="20" s="1"/>
  <c r="E235" i="20" a="1"/>
  <c r="E235" i="20" s="1"/>
  <c r="E230" i="20" a="1"/>
  <c r="E230" i="20" s="1"/>
  <c r="E224" i="20" a="1"/>
  <c r="E224" i="20" s="1"/>
  <c r="E219" i="20" a="1"/>
  <c r="E219" i="20" s="1"/>
  <c r="E214" i="20" a="1"/>
  <c r="E214" i="20" s="1"/>
  <c r="E208" i="20" a="1"/>
  <c r="E208" i="20" s="1"/>
  <c r="E203" i="20" a="1"/>
  <c r="E203" i="20" s="1"/>
  <c r="E198" i="20" a="1"/>
  <c r="E198" i="20" s="1"/>
  <c r="E192" i="20" a="1"/>
  <c r="E192" i="20" s="1"/>
  <c r="E187" i="20" a="1"/>
  <c r="E187" i="20" s="1"/>
  <c r="E182" i="20" a="1"/>
  <c r="E182" i="20" s="1"/>
  <c r="E176" i="20" a="1"/>
  <c r="E176" i="20" s="1"/>
  <c r="E171" i="20" a="1"/>
  <c r="E171" i="20" s="1"/>
  <c r="E167" i="20" a="1"/>
  <c r="E167" i="20" s="1"/>
  <c r="E163" i="20" a="1"/>
  <c r="E163" i="20" s="1"/>
  <c r="E159" i="20" a="1"/>
  <c r="E159" i="20" s="1"/>
  <c r="E155" i="20" a="1"/>
  <c r="E155" i="20" s="1"/>
  <c r="E151" i="20" a="1"/>
  <c r="E151" i="20" s="1"/>
  <c r="E147" i="20" a="1"/>
  <c r="E147" i="20" s="1"/>
  <c r="E143" i="20" a="1"/>
  <c r="E143" i="20" s="1"/>
  <c r="E139" i="20" a="1"/>
  <c r="E139" i="20" s="1"/>
  <c r="E135" i="20" a="1"/>
  <c r="E135" i="20" s="1"/>
  <c r="E131" i="20" a="1"/>
  <c r="E131" i="20" s="1"/>
  <c r="E127" i="20" a="1"/>
  <c r="E127" i="20" s="1"/>
  <c r="E123" i="20" a="1"/>
  <c r="E123" i="20" s="1"/>
  <c r="E119" i="20" a="1"/>
  <c r="E119" i="20" s="1"/>
  <c r="E115" i="20" a="1"/>
  <c r="E115" i="20" s="1"/>
  <c r="E111" i="20" a="1"/>
  <c r="E111" i="20" s="1"/>
  <c r="E107" i="20" a="1"/>
  <c r="E107" i="20" s="1"/>
  <c r="E103" i="20" a="1"/>
  <c r="E103" i="20" s="1"/>
  <c r="E99" i="20" a="1"/>
  <c r="E99" i="20" s="1"/>
  <c r="E95" i="20" a="1"/>
  <c r="E95" i="20" s="1"/>
  <c r="E91" i="20" a="1"/>
  <c r="E91" i="20" s="1"/>
  <c r="E505" i="20" a="1"/>
  <c r="E505" i="20" s="1"/>
  <c r="E500" i="20" a="1"/>
  <c r="E500" i="20" s="1"/>
  <c r="E495" i="20" a="1"/>
  <c r="E495" i="20" s="1"/>
  <c r="E490" i="20" a="1"/>
  <c r="E490" i="20" s="1"/>
  <c r="E484" i="20" a="1"/>
  <c r="E484" i="20" s="1"/>
  <c r="E479" i="20" a="1"/>
  <c r="E479" i="20" s="1"/>
  <c r="E474" i="20" a="1"/>
  <c r="E474" i="20" s="1"/>
  <c r="E468" i="20" a="1"/>
  <c r="E468" i="20" s="1"/>
  <c r="E463" i="20" a="1"/>
  <c r="E463" i="20" s="1"/>
  <c r="E458" i="20" a="1"/>
  <c r="E458" i="20" s="1"/>
  <c r="E452" i="20" a="1"/>
  <c r="E452" i="20" s="1"/>
  <c r="E447" i="20" a="1"/>
  <c r="E447" i="20" s="1"/>
  <c r="E442" i="20" a="1"/>
  <c r="E442" i="20" s="1"/>
  <c r="E436" i="20" a="1"/>
  <c r="E436" i="20" s="1"/>
  <c r="E431" i="20" a="1"/>
  <c r="E431" i="20" s="1"/>
  <c r="E426" i="20" a="1"/>
  <c r="E426" i="20" s="1"/>
  <c r="E420" i="20" a="1"/>
  <c r="E420" i="20" s="1"/>
  <c r="E415" i="20" a="1"/>
  <c r="E415" i="20" s="1"/>
  <c r="E410" i="20" a="1"/>
  <c r="E410" i="20" s="1"/>
  <c r="E404" i="20" a="1"/>
  <c r="E404" i="20" s="1"/>
  <c r="E399" i="20" a="1"/>
  <c r="E399" i="20" s="1"/>
  <c r="E394" i="20" a="1"/>
  <c r="E394" i="20" s="1"/>
  <c r="E388" i="20" a="1"/>
  <c r="E388" i="20" s="1"/>
  <c r="E383" i="20" a="1"/>
  <c r="E383" i="20" s="1"/>
  <c r="E378" i="20" a="1"/>
  <c r="E378" i="20" s="1"/>
  <c r="E372" i="20" a="1"/>
  <c r="E372" i="20" s="1"/>
  <c r="E367" i="20" a="1"/>
  <c r="E367" i="20" s="1"/>
  <c r="E362" i="20" a="1"/>
  <c r="E362" i="20" s="1"/>
  <c r="E356" i="20" a="1"/>
  <c r="E356" i="20" s="1"/>
  <c r="E351" i="20" a="1"/>
  <c r="E351" i="20" s="1"/>
  <c r="E346" i="20" a="1"/>
  <c r="E346" i="20" s="1"/>
  <c r="E340" i="20" a="1"/>
  <c r="E340" i="20" s="1"/>
  <c r="E335" i="20" a="1"/>
  <c r="E335" i="20" s="1"/>
  <c r="E330" i="20" a="1"/>
  <c r="E330" i="20" s="1"/>
  <c r="E324" i="20" a="1"/>
  <c r="E324" i="20" s="1"/>
  <c r="E319" i="20" a="1"/>
  <c r="E319" i="20" s="1"/>
  <c r="E314" i="20" a="1"/>
  <c r="E314" i="20" s="1"/>
  <c r="E308" i="20" a="1"/>
  <c r="E308" i="20" s="1"/>
  <c r="E303" i="20" a="1"/>
  <c r="E303" i="20" s="1"/>
  <c r="E298" i="20" a="1"/>
  <c r="E298" i="20" s="1"/>
  <c r="E292" i="20" a="1"/>
  <c r="E292" i="20" s="1"/>
  <c r="E287" i="20" a="1"/>
  <c r="E287" i="20" s="1"/>
  <c r="E282" i="20" a="1"/>
  <c r="E282" i="20" s="1"/>
  <c r="E276" i="20" a="1"/>
  <c r="E276" i="20" s="1"/>
  <c r="E271" i="20" a="1"/>
  <c r="E271" i="20" s="1"/>
  <c r="E266" i="20" a="1"/>
  <c r="E266" i="20" s="1"/>
  <c r="E260" i="20" a="1"/>
  <c r="E260" i="20" s="1"/>
  <c r="E255" i="20" a="1"/>
  <c r="E255" i="20" s="1"/>
  <c r="E250" i="20" a="1"/>
  <c r="E250" i="20" s="1"/>
  <c r="E244" i="20" a="1"/>
  <c r="E244" i="20" s="1"/>
  <c r="E239" i="20" a="1"/>
  <c r="E239" i="20" s="1"/>
  <c r="E234" i="20" a="1"/>
  <c r="E234" i="20" s="1"/>
  <c r="E228" i="20" a="1"/>
  <c r="E228" i="20" s="1"/>
  <c r="E223" i="20" a="1"/>
  <c r="E223" i="20" s="1"/>
  <c r="E218" i="20" a="1"/>
  <c r="E218" i="20" s="1"/>
  <c r="E212" i="20" a="1"/>
  <c r="E212" i="20" s="1"/>
  <c r="E508" i="20" a="1"/>
  <c r="E508" i="20" s="1"/>
  <c r="E503" i="20" a="1"/>
  <c r="E503" i="20" s="1"/>
  <c r="E499" i="20" a="1"/>
  <c r="E499" i="20" s="1"/>
  <c r="E494" i="20" a="1"/>
  <c r="E494" i="20" s="1"/>
  <c r="E488" i="20" a="1"/>
  <c r="E488" i="20" s="1"/>
  <c r="E483" i="20" a="1"/>
  <c r="E483" i="20" s="1"/>
  <c r="E478" i="20" a="1"/>
  <c r="E478" i="20" s="1"/>
  <c r="E472" i="20" a="1"/>
  <c r="E472" i="20" s="1"/>
  <c r="E467" i="20" a="1"/>
  <c r="E467" i="20" s="1"/>
  <c r="E462" i="20" a="1"/>
  <c r="E462" i="20" s="1"/>
  <c r="E456" i="20" a="1"/>
  <c r="E456" i="20" s="1"/>
  <c r="E451" i="20" a="1"/>
  <c r="E451" i="20" s="1"/>
  <c r="E446" i="20" a="1"/>
  <c r="E446" i="20" s="1"/>
  <c r="E440" i="20" a="1"/>
  <c r="E440" i="20" s="1"/>
  <c r="E435" i="20" a="1"/>
  <c r="E435" i="20" s="1"/>
  <c r="E430" i="20" a="1"/>
  <c r="E430" i="20" s="1"/>
  <c r="E424" i="20" a="1"/>
  <c r="E424" i="20" s="1"/>
  <c r="E419" i="20" a="1"/>
  <c r="E419" i="20" s="1"/>
  <c r="E414" i="20" a="1"/>
  <c r="E414" i="20" s="1"/>
  <c r="E408" i="20" a="1"/>
  <c r="E408" i="20" s="1"/>
  <c r="E403" i="20" a="1"/>
  <c r="E403" i="20" s="1"/>
  <c r="E398" i="20" a="1"/>
  <c r="E398" i="20" s="1"/>
  <c r="E392" i="20" a="1"/>
  <c r="E392" i="20" s="1"/>
  <c r="E502" i="20" a="1"/>
  <c r="E502" i="20" s="1"/>
  <c r="E498" i="20" a="1"/>
  <c r="E498" i="20" s="1"/>
  <c r="E492" i="20" a="1"/>
  <c r="E492" i="20" s="1"/>
  <c r="E487" i="20" a="1"/>
  <c r="E487" i="20" s="1"/>
  <c r="E482" i="20" a="1"/>
  <c r="E482" i="20" s="1"/>
  <c r="E476" i="20" a="1"/>
  <c r="E476" i="20" s="1"/>
  <c r="E471" i="20" a="1"/>
  <c r="E471" i="20" s="1"/>
  <c r="E466" i="20" a="1"/>
  <c r="E466" i="20" s="1"/>
  <c r="E460" i="20" a="1"/>
  <c r="E460" i="20" s="1"/>
  <c r="E455" i="20" a="1"/>
  <c r="E455" i="20" s="1"/>
  <c r="E450" i="20" a="1"/>
  <c r="E450" i="20" s="1"/>
  <c r="E444" i="20" a="1"/>
  <c r="E444" i="20" s="1"/>
  <c r="E439" i="20" a="1"/>
  <c r="E439" i="20" s="1"/>
  <c r="E434" i="20" a="1"/>
  <c r="E434" i="20" s="1"/>
  <c r="E428" i="20" a="1"/>
  <c r="E428" i="20" s="1"/>
  <c r="E423" i="20" a="1"/>
  <c r="E423" i="20" s="1"/>
  <c r="E418" i="20" a="1"/>
  <c r="E418" i="20" s="1"/>
  <c r="E412" i="20" a="1"/>
  <c r="E412" i="20" s="1"/>
  <c r="E407" i="20" a="1"/>
  <c r="E407" i="20" s="1"/>
  <c r="E402" i="20" a="1"/>
  <c r="E402" i="20" s="1"/>
  <c r="E396" i="20" a="1"/>
  <c r="E396" i="20" s="1"/>
  <c r="E391" i="20" a="1"/>
  <c r="E391" i="20" s="1"/>
  <c r="E386" i="20" a="1"/>
  <c r="E386" i="20" s="1"/>
  <c r="E380" i="20" a="1"/>
  <c r="E380" i="20" s="1"/>
  <c r="E375" i="20" a="1"/>
  <c r="E375" i="20" s="1"/>
  <c r="E370" i="20" a="1"/>
  <c r="E370" i="20" s="1"/>
  <c r="E364" i="20" a="1"/>
  <c r="E364" i="20" s="1"/>
  <c r="E359" i="20" a="1"/>
  <c r="E359" i="20" s="1"/>
  <c r="E354" i="20" a="1"/>
  <c r="E354" i="20" s="1"/>
  <c r="E348" i="20" a="1"/>
  <c r="E348" i="20" s="1"/>
  <c r="E343" i="20" a="1"/>
  <c r="E343" i="20" s="1"/>
  <c r="E338" i="20" a="1"/>
  <c r="E338" i="20" s="1"/>
  <c r="E332" i="20" a="1"/>
  <c r="E332" i="20" s="1"/>
  <c r="E327" i="20" a="1"/>
  <c r="E327" i="20" s="1"/>
  <c r="E322" i="20" a="1"/>
  <c r="E322" i="20" s="1"/>
  <c r="E387" i="20" a="1"/>
  <c r="E387" i="20" s="1"/>
  <c r="E366" i="20" a="1"/>
  <c r="E366" i="20" s="1"/>
  <c r="E344" i="20" a="1"/>
  <c r="E344" i="20" s="1"/>
  <c r="E323" i="20" a="1"/>
  <c r="E323" i="20" s="1"/>
  <c r="E311" i="20" a="1"/>
  <c r="E311" i="20" s="1"/>
  <c r="E300" i="20" a="1"/>
  <c r="E300" i="20" s="1"/>
  <c r="E290" i="20" a="1"/>
  <c r="E290" i="20" s="1"/>
  <c r="E279" i="20" a="1"/>
  <c r="E279" i="20" s="1"/>
  <c r="E268" i="20" a="1"/>
  <c r="E268" i="20" s="1"/>
  <c r="E258" i="20" a="1"/>
  <c r="E258" i="20" s="1"/>
  <c r="E247" i="20" a="1"/>
  <c r="E247" i="20" s="1"/>
  <c r="E236" i="20" a="1"/>
  <c r="E236" i="20" s="1"/>
  <c r="E226" i="20" a="1"/>
  <c r="E226" i="20" s="1"/>
  <c r="E215" i="20" a="1"/>
  <c r="E215" i="20" s="1"/>
  <c r="E206" i="20" a="1"/>
  <c r="E206" i="20" s="1"/>
  <c r="E199" i="20" a="1"/>
  <c r="E199" i="20" s="1"/>
  <c r="E191" i="20" a="1"/>
  <c r="E191" i="20" s="1"/>
  <c r="E184" i="20" a="1"/>
  <c r="E184" i="20" s="1"/>
  <c r="E178" i="20" a="1"/>
  <c r="E178" i="20" s="1"/>
  <c r="E170" i="20" a="1"/>
  <c r="E170" i="20" s="1"/>
  <c r="E165" i="20" a="1"/>
  <c r="E165" i="20" s="1"/>
  <c r="E160" i="20" a="1"/>
  <c r="E160" i="20" s="1"/>
  <c r="E154" i="20" a="1"/>
  <c r="E154" i="20" s="1"/>
  <c r="E149" i="20" a="1"/>
  <c r="E149" i="20" s="1"/>
  <c r="E144" i="20" a="1"/>
  <c r="E144" i="20" s="1"/>
  <c r="E138" i="20" a="1"/>
  <c r="E138" i="20" s="1"/>
  <c r="E133" i="20" a="1"/>
  <c r="E133" i="20" s="1"/>
  <c r="E128" i="20" a="1"/>
  <c r="E128" i="20" s="1"/>
  <c r="E122" i="20" a="1"/>
  <c r="E122" i="20" s="1"/>
  <c r="E117" i="20" a="1"/>
  <c r="E117" i="20" s="1"/>
  <c r="E112" i="20" a="1"/>
  <c r="E112" i="20" s="1"/>
  <c r="E106" i="20" a="1"/>
  <c r="E106" i="20" s="1"/>
  <c r="E101" i="20" a="1"/>
  <c r="E101" i="20" s="1"/>
  <c r="E96" i="20" a="1"/>
  <c r="E96" i="20" s="1"/>
  <c r="E90" i="20" a="1"/>
  <c r="E90" i="20" s="1"/>
  <c r="E86" i="20" a="1"/>
  <c r="E86" i="20" s="1"/>
  <c r="E82" i="20" a="1"/>
  <c r="E82" i="20" s="1"/>
  <c r="E78" i="20" a="1"/>
  <c r="E78" i="20" s="1"/>
  <c r="E74" i="20" a="1"/>
  <c r="E74" i="20" s="1"/>
  <c r="E70" i="20" a="1"/>
  <c r="E70" i="20" s="1"/>
  <c r="E66" i="20" a="1"/>
  <c r="E66" i="20" s="1"/>
  <c r="E62" i="20" a="1"/>
  <c r="E62" i="20" s="1"/>
  <c r="E58" i="20" a="1"/>
  <c r="E58" i="20" s="1"/>
  <c r="E54" i="20" a="1"/>
  <c r="E54" i="20" s="1"/>
  <c r="E50" i="20" a="1"/>
  <c r="E50" i="20" s="1"/>
  <c r="E46" i="20" a="1"/>
  <c r="E46" i="20" s="1"/>
  <c r="E42" i="20" a="1"/>
  <c r="E42" i="20" s="1"/>
  <c r="E38" i="20" a="1"/>
  <c r="E38" i="20" s="1"/>
  <c r="E34" i="20" a="1"/>
  <c r="E34" i="20" s="1"/>
  <c r="E30" i="20" a="1"/>
  <c r="E30" i="20" s="1"/>
  <c r="E26" i="20" a="1"/>
  <c r="E26" i="20" s="1"/>
  <c r="E22" i="20" a="1"/>
  <c r="E22" i="20" s="1"/>
  <c r="E18" i="20" a="1"/>
  <c r="E18" i="20" s="1"/>
  <c r="E14" i="20" a="1"/>
  <c r="E14" i="20" s="1"/>
  <c r="E510" i="20" a="1"/>
  <c r="E510" i="20" s="1"/>
  <c r="E102" i="20" a="1"/>
  <c r="E102" i="20" s="1"/>
  <c r="E87" i="20" a="1"/>
  <c r="E87" i="20" s="1"/>
  <c r="E75" i="20" a="1"/>
  <c r="E75" i="20" s="1"/>
  <c r="E67" i="20" a="1"/>
  <c r="E67" i="20" s="1"/>
  <c r="E55" i="20" a="1"/>
  <c r="E55" i="20" s="1"/>
  <c r="E43" i="20" a="1"/>
  <c r="E43" i="20" s="1"/>
  <c r="E31" i="20" a="1"/>
  <c r="E31" i="20" s="1"/>
  <c r="E19" i="20" a="1"/>
  <c r="E19" i="20" s="1"/>
  <c r="E382" i="20" a="1"/>
  <c r="E382" i="20" s="1"/>
  <c r="E360" i="20" a="1"/>
  <c r="E360" i="20" s="1"/>
  <c r="E339" i="20" a="1"/>
  <c r="E339" i="20" s="1"/>
  <c r="E318" i="20" a="1"/>
  <c r="E318" i="20" s="1"/>
  <c r="E307" i="20" a="1"/>
  <c r="E307" i="20" s="1"/>
  <c r="E296" i="20" a="1"/>
  <c r="E296" i="20" s="1"/>
  <c r="E286" i="20" a="1"/>
  <c r="E286" i="20" s="1"/>
  <c r="E275" i="20" a="1"/>
  <c r="E275" i="20" s="1"/>
  <c r="E264" i="20" a="1"/>
  <c r="E264" i="20" s="1"/>
  <c r="E254" i="20" a="1"/>
  <c r="E254" i="20" s="1"/>
  <c r="E243" i="20" a="1"/>
  <c r="E243" i="20" s="1"/>
  <c r="E232" i="20" a="1"/>
  <c r="E232" i="20" s="1"/>
  <c r="E222" i="20" a="1"/>
  <c r="E222" i="20" s="1"/>
  <c r="E211" i="20" a="1"/>
  <c r="E211" i="20" s="1"/>
  <c r="E204" i="20" a="1"/>
  <c r="E204" i="20" s="1"/>
  <c r="E196" i="20" a="1"/>
  <c r="E196" i="20" s="1"/>
  <c r="E190" i="20" a="1"/>
  <c r="E190" i="20" s="1"/>
  <c r="E183" i="20" a="1"/>
  <c r="E183" i="20" s="1"/>
  <c r="E175" i="20" a="1"/>
  <c r="E175" i="20" s="1"/>
  <c r="E169" i="20" a="1"/>
  <c r="E169" i="20" s="1"/>
  <c r="E164" i="20" a="1"/>
  <c r="E164" i="20" s="1"/>
  <c r="E158" i="20" a="1"/>
  <c r="E158" i="20" s="1"/>
  <c r="E153" i="20" a="1"/>
  <c r="E153" i="20" s="1"/>
  <c r="E148" i="20" a="1"/>
  <c r="E148" i="20" s="1"/>
  <c r="E142" i="20" a="1"/>
  <c r="E142" i="20" s="1"/>
  <c r="E137" i="20" a="1"/>
  <c r="E137" i="20" s="1"/>
  <c r="E132" i="20" a="1"/>
  <c r="E132" i="20" s="1"/>
  <c r="E126" i="20" a="1"/>
  <c r="E126" i="20" s="1"/>
  <c r="E121" i="20" a="1"/>
  <c r="E121" i="20" s="1"/>
  <c r="E116" i="20" a="1"/>
  <c r="E116" i="20" s="1"/>
  <c r="E110" i="20" a="1"/>
  <c r="E110" i="20" s="1"/>
  <c r="E105" i="20" a="1"/>
  <c r="E105" i="20" s="1"/>
  <c r="E100" i="20" a="1"/>
  <c r="E100" i="20" s="1"/>
  <c r="E94" i="20" a="1"/>
  <c r="E94" i="20" s="1"/>
  <c r="E89" i="20" a="1"/>
  <c r="E89" i="20" s="1"/>
  <c r="E85" i="20" a="1"/>
  <c r="E85" i="20" s="1"/>
  <c r="E81" i="20" a="1"/>
  <c r="E81" i="20" s="1"/>
  <c r="E77" i="20" a="1"/>
  <c r="E77" i="20" s="1"/>
  <c r="E73" i="20" a="1"/>
  <c r="E73" i="20" s="1"/>
  <c r="E69" i="20" a="1"/>
  <c r="E69" i="20" s="1"/>
  <c r="E65" i="20" a="1"/>
  <c r="E65" i="20" s="1"/>
  <c r="E61" i="20" a="1"/>
  <c r="E61" i="20" s="1"/>
  <c r="E57" i="20" a="1"/>
  <c r="E57" i="20" s="1"/>
  <c r="E53" i="20" a="1"/>
  <c r="E53" i="20" s="1"/>
  <c r="E49" i="20" a="1"/>
  <c r="E49" i="20" s="1"/>
  <c r="E45" i="20" a="1"/>
  <c r="E45" i="20" s="1"/>
  <c r="E41" i="20" a="1"/>
  <c r="E41" i="20" s="1"/>
  <c r="E37" i="20" a="1"/>
  <c r="E37" i="20" s="1"/>
  <c r="E33" i="20" a="1"/>
  <c r="E33" i="20" s="1"/>
  <c r="E29" i="20" a="1"/>
  <c r="E29" i="20" s="1"/>
  <c r="E25" i="20" a="1"/>
  <c r="E25" i="20" s="1"/>
  <c r="E21" i="20" a="1"/>
  <c r="E21" i="20" s="1"/>
  <c r="E17" i="20" a="1"/>
  <c r="E17" i="20" s="1"/>
  <c r="E371" i="20" a="1"/>
  <c r="E371" i="20" s="1"/>
  <c r="E312" i="20" a="1"/>
  <c r="E312" i="20" s="1"/>
  <c r="E291" i="20" a="1"/>
  <c r="E291" i="20" s="1"/>
  <c r="E270" i="20" a="1"/>
  <c r="E270" i="20" s="1"/>
  <c r="E248" i="20" a="1"/>
  <c r="E248" i="20" s="1"/>
  <c r="E227" i="20" a="1"/>
  <c r="E227" i="20" s="1"/>
  <c r="E207" i="20" a="1"/>
  <c r="E207" i="20" s="1"/>
  <c r="E194" i="20" a="1"/>
  <c r="E194" i="20" s="1"/>
  <c r="E179" i="20" a="1"/>
  <c r="E179" i="20" s="1"/>
  <c r="E166" i="20" a="1"/>
  <c r="E166" i="20" s="1"/>
  <c r="E150" i="20" a="1"/>
  <c r="E150" i="20" s="1"/>
  <c r="E140" i="20" a="1"/>
  <c r="E140" i="20" s="1"/>
  <c r="E129" i="20" a="1"/>
  <c r="E129" i="20" s="1"/>
  <c r="E118" i="20" a="1"/>
  <c r="E118" i="20" s="1"/>
  <c r="E108" i="20" a="1"/>
  <c r="E108" i="20" s="1"/>
  <c r="E92" i="20" a="1"/>
  <c r="E92" i="20" s="1"/>
  <c r="E79" i="20" a="1"/>
  <c r="E79" i="20" s="1"/>
  <c r="E63" i="20" a="1"/>
  <c r="E63" i="20" s="1"/>
  <c r="E51" i="20" a="1"/>
  <c r="E51" i="20" s="1"/>
  <c r="E39" i="20" a="1"/>
  <c r="E39" i="20" s="1"/>
  <c r="E23" i="20" a="1"/>
  <c r="E23" i="20" s="1"/>
  <c r="E376" i="20" a="1"/>
  <c r="E376" i="20" s="1"/>
  <c r="E355" i="20" a="1"/>
  <c r="E355" i="20" s="1"/>
  <c r="E334" i="20" a="1"/>
  <c r="E334" i="20" s="1"/>
  <c r="E316" i="20" a="1"/>
  <c r="E316" i="20" s="1"/>
  <c r="E306" i="20" a="1"/>
  <c r="E306" i="20" s="1"/>
  <c r="E295" i="20" a="1"/>
  <c r="E295" i="20" s="1"/>
  <c r="E284" i="20" a="1"/>
  <c r="E284" i="20" s="1"/>
  <c r="E274" i="20" a="1"/>
  <c r="E274" i="20" s="1"/>
  <c r="E263" i="20" a="1"/>
  <c r="E263" i="20" s="1"/>
  <c r="E252" i="20" a="1"/>
  <c r="E252" i="20" s="1"/>
  <c r="E242" i="20" a="1"/>
  <c r="E242" i="20" s="1"/>
  <c r="E231" i="20" a="1"/>
  <c r="E231" i="20" s="1"/>
  <c r="E220" i="20" a="1"/>
  <c r="E220" i="20" s="1"/>
  <c r="E210" i="20" a="1"/>
  <c r="E210" i="20" s="1"/>
  <c r="E202" i="20" a="1"/>
  <c r="E202" i="20" s="1"/>
  <c r="E195" i="20" a="1"/>
  <c r="E195" i="20" s="1"/>
  <c r="E188" i="20" a="1"/>
  <c r="E188" i="20" s="1"/>
  <c r="E180" i="20" a="1"/>
  <c r="E180" i="20" s="1"/>
  <c r="E174" i="20" a="1"/>
  <c r="E174" i="20" s="1"/>
  <c r="E168" i="20" a="1"/>
  <c r="E168" i="20" s="1"/>
  <c r="E162" i="20" a="1"/>
  <c r="E162" i="20" s="1"/>
  <c r="E157" i="20" a="1"/>
  <c r="E157" i="20" s="1"/>
  <c r="E152" i="20" a="1"/>
  <c r="E152" i="20" s="1"/>
  <c r="E146" i="20" a="1"/>
  <c r="E146" i="20" s="1"/>
  <c r="E141" i="20" a="1"/>
  <c r="E141" i="20" s="1"/>
  <c r="E136" i="20" a="1"/>
  <c r="E136" i="20" s="1"/>
  <c r="E130" i="20" a="1"/>
  <c r="E130" i="20" s="1"/>
  <c r="E125" i="20" a="1"/>
  <c r="E125" i="20" s="1"/>
  <c r="E120" i="20" a="1"/>
  <c r="E120" i="20" s="1"/>
  <c r="E114" i="20" a="1"/>
  <c r="E114" i="20" s="1"/>
  <c r="E109" i="20" a="1"/>
  <c r="E109" i="20" s="1"/>
  <c r="E104" i="20" a="1"/>
  <c r="E104" i="20" s="1"/>
  <c r="E98" i="20" a="1"/>
  <c r="E98" i="20" s="1"/>
  <c r="E93" i="20" a="1"/>
  <c r="E93" i="20" s="1"/>
  <c r="E88" i="20" a="1"/>
  <c r="E88" i="20" s="1"/>
  <c r="E84" i="20" a="1"/>
  <c r="E84" i="20" s="1"/>
  <c r="E80" i="20" a="1"/>
  <c r="E80" i="20" s="1"/>
  <c r="E76" i="20" a="1"/>
  <c r="E76" i="20" s="1"/>
  <c r="E72" i="20" a="1"/>
  <c r="E72" i="20" s="1"/>
  <c r="E68" i="20" a="1"/>
  <c r="E68" i="20" s="1"/>
  <c r="E64" i="20" a="1"/>
  <c r="E64" i="20" s="1"/>
  <c r="E60" i="20" a="1"/>
  <c r="E60" i="20" s="1"/>
  <c r="E56" i="20" a="1"/>
  <c r="E56" i="20" s="1"/>
  <c r="E52" i="20" a="1"/>
  <c r="E52" i="20" s="1"/>
  <c r="E48" i="20" a="1"/>
  <c r="E48" i="20" s="1"/>
  <c r="E44" i="20" a="1"/>
  <c r="E44" i="20" s="1"/>
  <c r="E40" i="20" a="1"/>
  <c r="E40" i="20" s="1"/>
  <c r="E36" i="20" a="1"/>
  <c r="E36" i="20" s="1"/>
  <c r="E32" i="20" a="1"/>
  <c r="E32" i="20" s="1"/>
  <c r="E28" i="20" a="1"/>
  <c r="E28" i="20" s="1"/>
  <c r="E24" i="20" a="1"/>
  <c r="E24" i="20" s="1"/>
  <c r="E20" i="20" a="1"/>
  <c r="E20" i="20" s="1"/>
  <c r="E16" i="20" a="1"/>
  <c r="E16" i="20" s="1"/>
  <c r="E350" i="20" a="1"/>
  <c r="E350" i="20" s="1"/>
  <c r="E328" i="20" a="1"/>
  <c r="E328" i="20" s="1"/>
  <c r="E302" i="20" a="1"/>
  <c r="E302" i="20" s="1"/>
  <c r="E280" i="20" a="1"/>
  <c r="E280" i="20" s="1"/>
  <c r="E259" i="20" a="1"/>
  <c r="E259" i="20" s="1"/>
  <c r="E238" i="20" a="1"/>
  <c r="E238" i="20" s="1"/>
  <c r="E216" i="20" a="1"/>
  <c r="E216" i="20" s="1"/>
  <c r="E200" i="20" a="1"/>
  <c r="E200" i="20" s="1"/>
  <c r="E186" i="20" a="1"/>
  <c r="E186" i="20" s="1"/>
  <c r="E172" i="20" a="1"/>
  <c r="E172" i="20" s="1"/>
  <c r="E161" i="20" a="1"/>
  <c r="E161" i="20" s="1"/>
  <c r="E156" i="20" a="1"/>
  <c r="E156" i="20" s="1"/>
  <c r="E145" i="20" a="1"/>
  <c r="E145" i="20" s="1"/>
  <c r="E134" i="20" a="1"/>
  <c r="E134" i="20" s="1"/>
  <c r="E124" i="20" a="1"/>
  <c r="E124" i="20" s="1"/>
  <c r="E113" i="20" a="1"/>
  <c r="E113" i="20" s="1"/>
  <c r="E97" i="20" a="1"/>
  <c r="E97" i="20" s="1"/>
  <c r="E83" i="20" a="1"/>
  <c r="E83" i="20" s="1"/>
  <c r="E71" i="20" a="1"/>
  <c r="E71" i="20" s="1"/>
  <c r="E59" i="20" a="1"/>
  <c r="E59" i="20" s="1"/>
  <c r="E47" i="20" a="1"/>
  <c r="E47" i="20" s="1"/>
  <c r="E35" i="20" a="1"/>
  <c r="E35" i="20" s="1"/>
  <c r="E27" i="20" a="1"/>
  <c r="E27" i="20" s="1"/>
  <c r="E15" i="20" a="1"/>
  <c r="E15" i="20" s="1"/>
  <c r="C517" i="20"/>
  <c r="E517" i="20"/>
  <c r="C528" i="20"/>
  <c r="D528" i="20"/>
  <c r="E528" i="20"/>
  <c r="E525" i="20"/>
  <c r="C525" i="20"/>
  <c r="D525" i="20"/>
  <c r="E520" i="20"/>
  <c r="E533" i="20"/>
  <c r="D533" i="20"/>
  <c r="C536" i="20"/>
  <c r="C533" i="20"/>
  <c r="E536" i="20"/>
  <c r="D536" i="20"/>
  <c r="F558" i="20"/>
  <c r="F136" i="66"/>
  <c r="F143" i="66"/>
  <c r="F129" i="66"/>
  <c r="C45" i="64"/>
  <c r="B5" i="64" s="1"/>
  <c r="K136" i="54"/>
  <c r="E96" i="54" s="1"/>
  <c r="E558" i="20"/>
  <c r="S547" i="20" a="1"/>
  <c r="S547" i="20" s="1"/>
  <c r="T547" i="20" a="1"/>
  <c r="T547" i="20" s="1"/>
  <c r="S546" i="20" a="1"/>
  <c r="S546" i="20" s="1"/>
  <c r="T546" i="20" a="1"/>
  <c r="T546" i="20" s="1"/>
  <c r="S545" i="20" a="1"/>
  <c r="S545" i="20" s="1"/>
  <c r="T545" i="20" a="1"/>
  <c r="T545" i="20" s="1"/>
  <c r="Q126" i="54"/>
  <c r="E103" i="54" s="1"/>
  <c r="N136" i="54"/>
  <c r="E100" i="54" s="1"/>
  <c r="N126" i="54"/>
  <c r="E99" i="54" s="1"/>
  <c r="L126" i="54"/>
  <c r="F95" i="54" s="1"/>
  <c r="O136" i="54"/>
  <c r="F100" i="54" s="1"/>
  <c r="S126" i="54"/>
  <c r="H103" i="54" s="1"/>
  <c r="L136" i="54"/>
  <c r="F96" i="54" s="1"/>
  <c r="P126" i="54"/>
  <c r="H99" i="54" s="1"/>
  <c r="Q136" i="54"/>
  <c r="E104" i="54" s="1"/>
  <c r="S136" i="54"/>
  <c r="H104" i="54" s="1"/>
  <c r="K126" i="54"/>
  <c r="E95" i="54" s="1"/>
  <c r="O126" i="54"/>
  <c r="F99" i="54" s="1"/>
  <c r="M136" i="54"/>
  <c r="H96" i="54" s="1"/>
  <c r="R136" i="54"/>
  <c r="F104" i="54" s="1"/>
  <c r="R126" i="54"/>
  <c r="F103" i="54" s="1"/>
  <c r="P136" i="54"/>
  <c r="H100" i="54" s="1"/>
  <c r="AJ73" i="54"/>
  <c r="H98" i="54" s="1"/>
  <c r="AD73" i="54"/>
  <c r="F98" i="54" s="1"/>
  <c r="X73" i="54"/>
  <c r="E98" i="54" s="1"/>
  <c r="L73" i="54"/>
  <c r="F94" i="54" s="1"/>
  <c r="R73" i="54"/>
  <c r="H94" i="54" s="1"/>
  <c r="AP73" i="54"/>
  <c r="E102" i="54" s="1"/>
  <c r="BB73" i="54"/>
  <c r="H102" i="54" s="1"/>
  <c r="AV73" i="54"/>
  <c r="F102" i="54" s="1"/>
  <c r="F518" i="20" l="1"/>
  <c r="B153" i="66"/>
  <c r="B5" i="66" s="1"/>
  <c r="E42" i="10"/>
  <c r="J42" i="10" s="1"/>
  <c r="N42" i="10" s="1"/>
  <c r="B6" i="64"/>
  <c r="B8" i="64" s="1"/>
  <c r="F526" i="20"/>
  <c r="H526" i="20" s="1"/>
  <c r="F534" i="20"/>
  <c r="H534" i="20" s="1"/>
  <c r="F531" i="20"/>
  <c r="H531" i="20" s="1"/>
  <c r="F523" i="20"/>
  <c r="H523" i="20" s="1"/>
  <c r="P30" i="31"/>
  <c r="P29" i="31"/>
  <c r="P27" i="31"/>
  <c r="P26" i="31"/>
  <c r="P23" i="31"/>
  <c r="P22" i="31"/>
  <c r="P21" i="31"/>
  <c r="P20" i="31"/>
  <c r="P19" i="31"/>
  <c r="P18" i="31"/>
  <c r="P15" i="31"/>
  <c r="P14" i="31"/>
  <c r="H19" i="10"/>
  <c r="H20" i="10"/>
  <c r="I19" i="14"/>
  <c r="I20" i="14"/>
  <c r="I21" i="14"/>
  <c r="I22" i="14"/>
  <c r="I23" i="14"/>
  <c r="I24" i="14"/>
  <c r="I25" i="14"/>
  <c r="I26" i="14"/>
  <c r="I27" i="14"/>
  <c r="I28" i="14"/>
  <c r="I29" i="14"/>
  <c r="I30" i="14"/>
  <c r="I31" i="14"/>
  <c r="I32" i="14"/>
  <c r="I33" i="14"/>
  <c r="I34" i="14"/>
  <c r="I35" i="14"/>
  <c r="I36" i="14"/>
  <c r="I37" i="14"/>
  <c r="I38" i="14"/>
  <c r="I39" i="14"/>
  <c r="I40" i="14"/>
  <c r="I41" i="14"/>
  <c r="I42" i="14"/>
  <c r="I43" i="14"/>
  <c r="I44" i="14"/>
  <c r="I45" i="14"/>
  <c r="I46" i="14"/>
  <c r="I47" i="14"/>
  <c r="I48" i="14"/>
  <c r="I49" i="14"/>
  <c r="I50" i="14"/>
  <c r="I52" i="14"/>
  <c r="I53" i="14"/>
  <c r="I54" i="14"/>
  <c r="I55" i="14"/>
  <c r="I56" i="14"/>
  <c r="I57" i="14"/>
  <c r="I58" i="14"/>
  <c r="I59" i="14"/>
  <c r="I60" i="14"/>
  <c r="I61" i="14"/>
  <c r="I62" i="14"/>
  <c r="I63" i="14"/>
  <c r="I64" i="14"/>
  <c r="I65" i="14"/>
  <c r="I66" i="14"/>
  <c r="H52" i="14"/>
  <c r="H53" i="14"/>
  <c r="H54" i="14"/>
  <c r="H55" i="14"/>
  <c r="H56" i="14"/>
  <c r="H57" i="14"/>
  <c r="H58" i="14"/>
  <c r="H59" i="14"/>
  <c r="H60" i="14"/>
  <c r="H61" i="14"/>
  <c r="H62" i="14"/>
  <c r="H63" i="14"/>
  <c r="H64" i="14"/>
  <c r="H65" i="14"/>
  <c r="H66" i="14"/>
  <c r="H19" i="14"/>
  <c r="H20" i="14"/>
  <c r="H21" i="14"/>
  <c r="H22" i="14"/>
  <c r="H23" i="14"/>
  <c r="H24" i="14"/>
  <c r="H25" i="14"/>
  <c r="H26" i="14"/>
  <c r="H27" i="14"/>
  <c r="H28" i="14"/>
  <c r="H29" i="14"/>
  <c r="H30" i="14"/>
  <c r="H31" i="14"/>
  <c r="H32" i="14"/>
  <c r="H33" i="14"/>
  <c r="H34" i="14"/>
  <c r="H35" i="14"/>
  <c r="H36" i="14"/>
  <c r="H37" i="14"/>
  <c r="H38" i="14"/>
  <c r="H39" i="14"/>
  <c r="H40" i="14"/>
  <c r="H41" i="14"/>
  <c r="H42" i="14"/>
  <c r="H43" i="14"/>
  <c r="H44" i="14"/>
  <c r="H45" i="14"/>
  <c r="H46" i="14"/>
  <c r="H47" i="14"/>
  <c r="H48" i="14"/>
  <c r="H49" i="14"/>
  <c r="H50" i="14"/>
  <c r="G67" i="14"/>
  <c r="C85" i="14" s="1"/>
  <c r="A102" i="54"/>
  <c r="A98" i="54"/>
  <c r="A94" i="54"/>
  <c r="A7" i="54"/>
  <c r="B10" i="57"/>
  <c r="A60" i="57" s="1"/>
  <c r="D63" i="57"/>
  <c r="D64" i="57"/>
  <c r="D65" i="57"/>
  <c r="D66" i="57"/>
  <c r="D67" i="57"/>
  <c r="D68" i="57"/>
  <c r="D69" i="57"/>
  <c r="D70" i="57"/>
  <c r="D71" i="57"/>
  <c r="D72" i="57"/>
  <c r="D73" i="57"/>
  <c r="B11" i="2"/>
  <c r="B5" i="37"/>
  <c r="AW9" i="54"/>
  <c r="AQ9" i="54"/>
  <c r="AK9" i="54"/>
  <c r="AK7" i="54"/>
  <c r="AE9" i="54"/>
  <c r="Y9" i="54"/>
  <c r="S9" i="54"/>
  <c r="M9" i="54"/>
  <c r="G9" i="54"/>
  <c r="A9" i="54"/>
  <c r="S7" i="54"/>
  <c r="E41" i="10"/>
  <c r="C53" i="18"/>
  <c r="C51" i="18"/>
  <c r="C48" i="18"/>
  <c r="L51" i="18"/>
  <c r="M51" i="18"/>
  <c r="L52" i="18"/>
  <c r="M52" i="18"/>
  <c r="L53" i="18"/>
  <c r="M53" i="18"/>
  <c r="L54" i="18"/>
  <c r="M54" i="18"/>
  <c r="L55" i="18"/>
  <c r="M55" i="18"/>
  <c r="L57" i="18"/>
  <c r="M57" i="18"/>
  <c r="D53" i="18"/>
  <c r="E53" i="18"/>
  <c r="I10" i="13" a="1"/>
  <c r="I10" i="13" s="1"/>
  <c r="D51" i="18"/>
  <c r="E51" i="18"/>
  <c r="D49" i="18"/>
  <c r="E49" i="18"/>
  <c r="C49" i="18"/>
  <c r="D48" i="18"/>
  <c r="E48" i="18"/>
  <c r="D47" i="18"/>
  <c r="E47" i="18"/>
  <c r="D10" i="52"/>
  <c r="A84" i="52" s="1"/>
  <c r="C10" i="52"/>
  <c r="A70" i="52" s="1"/>
  <c r="B10" i="52"/>
  <c r="A56" i="52" s="1"/>
  <c r="H26" i="10"/>
  <c r="E10" i="50"/>
  <c r="A61" i="50" s="1"/>
  <c r="C10" i="50"/>
  <c r="A50" i="50" s="1"/>
  <c r="A10" i="50"/>
  <c r="A39" i="50" s="1"/>
  <c r="H23" i="10"/>
  <c r="H21" i="10"/>
  <c r="G13" i="45"/>
  <c r="H13" i="45"/>
  <c r="G17" i="45"/>
  <c r="H17" i="45"/>
  <c r="G18" i="45"/>
  <c r="H18" i="45"/>
  <c r="G22" i="45"/>
  <c r="H22" i="45"/>
  <c r="F22" i="45"/>
  <c r="F18" i="45"/>
  <c r="F17" i="45"/>
  <c r="F13" i="45"/>
  <c r="G23" i="45"/>
  <c r="H23" i="45"/>
  <c r="G24" i="45"/>
  <c r="H24" i="45"/>
  <c r="G25" i="45"/>
  <c r="H25" i="45"/>
  <c r="G26" i="45"/>
  <c r="H26" i="45"/>
  <c r="G27" i="45"/>
  <c r="H27" i="45"/>
  <c r="G28" i="45"/>
  <c r="H28" i="45"/>
  <c r="G29" i="45"/>
  <c r="H29" i="45"/>
  <c r="G30" i="45"/>
  <c r="H30" i="45"/>
  <c r="G31" i="45"/>
  <c r="H31" i="45"/>
  <c r="G32" i="45"/>
  <c r="H32" i="45"/>
  <c r="G33" i="45"/>
  <c r="H33" i="45"/>
  <c r="G34" i="45"/>
  <c r="H34" i="45"/>
  <c r="G35" i="45"/>
  <c r="H35" i="45"/>
  <c r="G36" i="45"/>
  <c r="H36" i="45"/>
  <c r="F23" i="45"/>
  <c r="F24" i="45"/>
  <c r="F25" i="45"/>
  <c r="F26" i="45"/>
  <c r="F27" i="45"/>
  <c r="F28" i="45"/>
  <c r="F29" i="45"/>
  <c r="F30" i="45"/>
  <c r="F31" i="45"/>
  <c r="F32" i="45"/>
  <c r="F33" i="45"/>
  <c r="F34" i="45"/>
  <c r="F35" i="45"/>
  <c r="F36" i="45"/>
  <c r="A51" i="45"/>
  <c r="A46" i="45"/>
  <c r="B10" i="45"/>
  <c r="A41" i="45" s="1"/>
  <c r="C143" i="43"/>
  <c r="C139" i="43"/>
  <c r="C140" i="43"/>
  <c r="C141" i="43"/>
  <c r="C138" i="43"/>
  <c r="C137" i="43"/>
  <c r="J8" i="37"/>
  <c r="I8" i="37"/>
  <c r="H8" i="37"/>
  <c r="G8" i="37"/>
  <c r="F8" i="37"/>
  <c r="E8" i="37"/>
  <c r="D8" i="37"/>
  <c r="C8" i="37"/>
  <c r="B8" i="37"/>
  <c r="H7" i="37"/>
  <c r="A29" i="37" s="1"/>
  <c r="E7" i="37"/>
  <c r="A24" i="37" s="1"/>
  <c r="B7" i="37"/>
  <c r="A19" i="37" s="1"/>
  <c r="E11" i="35"/>
  <c r="F11" i="35" s="1"/>
  <c r="R12" i="31"/>
  <c r="R13" i="31"/>
  <c r="R14" i="31"/>
  <c r="R15" i="31"/>
  <c r="R16" i="31"/>
  <c r="R17" i="31"/>
  <c r="R18" i="31"/>
  <c r="R19" i="31"/>
  <c r="R20" i="31"/>
  <c r="R21" i="31"/>
  <c r="R22" i="31"/>
  <c r="R23" i="31"/>
  <c r="R24" i="31"/>
  <c r="R25" i="31"/>
  <c r="R26" i="31"/>
  <c r="R27" i="31"/>
  <c r="R28" i="31"/>
  <c r="R29" i="31"/>
  <c r="R30" i="31"/>
  <c r="R11" i="31"/>
  <c r="P16" i="31"/>
  <c r="P17" i="31"/>
  <c r="P24" i="31"/>
  <c r="P25" i="31"/>
  <c r="P28" i="31"/>
  <c r="N12" i="31"/>
  <c r="N13" i="31"/>
  <c r="N14" i="31"/>
  <c r="N15" i="31"/>
  <c r="N16" i="31"/>
  <c r="N17" i="31"/>
  <c r="N18" i="31"/>
  <c r="N19" i="31"/>
  <c r="N20" i="31"/>
  <c r="N21" i="31"/>
  <c r="N22" i="31"/>
  <c r="N23" i="31"/>
  <c r="N24" i="31"/>
  <c r="N25" i="31"/>
  <c r="N26" i="31"/>
  <c r="N27" i="31"/>
  <c r="N28" i="31"/>
  <c r="N29" i="31"/>
  <c r="N30" i="31"/>
  <c r="N11" i="31"/>
  <c r="P12" i="31"/>
  <c r="P13" i="31"/>
  <c r="H537" i="20" l="1"/>
  <c r="H538" i="20" s="1"/>
  <c r="H518" i="20"/>
  <c r="C5" i="67"/>
  <c r="E33" i="10" s="1"/>
  <c r="H529" i="20"/>
  <c r="H530" i="20" s="1"/>
  <c r="E30" i="10"/>
  <c r="J30" i="10" s="1"/>
  <c r="N30" i="10" s="1"/>
  <c r="B8" i="59"/>
  <c r="E25" i="10"/>
  <c r="J25" i="10" s="1"/>
  <c r="N25" i="10" s="1"/>
  <c r="B6" i="66"/>
  <c r="B8" i="66" s="1"/>
  <c r="M69" i="18"/>
  <c r="L69" i="18"/>
  <c r="C54" i="18" s="1"/>
  <c r="C149" i="43"/>
  <c r="B5" i="43" s="1"/>
  <c r="B6" i="43" s="1"/>
  <c r="B8" i="43" s="1"/>
  <c r="H37" i="45"/>
  <c r="D51" i="45" s="1"/>
  <c r="D54" i="45" s="1"/>
  <c r="D55" i="45" s="1"/>
  <c r="H51" i="14"/>
  <c r="I51" i="14"/>
  <c r="H67" i="14"/>
  <c r="I67" i="14"/>
  <c r="P31" i="31"/>
  <c r="C36" i="31" s="1"/>
  <c r="N31" i="31"/>
  <c r="C35" i="31" s="1"/>
  <c r="Q31" i="31"/>
  <c r="C37" i="31" s="1"/>
  <c r="R31" i="31"/>
  <c r="C38" i="31" s="1"/>
  <c r="S31" i="31"/>
  <c r="C39" i="31" s="1"/>
  <c r="G51" i="14"/>
  <c r="C84" i="14" s="1"/>
  <c r="C33" i="33"/>
  <c r="B5" i="33" s="1"/>
  <c r="E35" i="10" s="1"/>
  <c r="J35" i="10" s="1"/>
  <c r="N35" i="10" s="1"/>
  <c r="I53" i="52"/>
  <c r="D107" i="52" s="1"/>
  <c r="D108" i="52" s="1"/>
  <c r="G37" i="45"/>
  <c r="D46" i="45" s="1"/>
  <c r="D49" i="45" s="1"/>
  <c r="D50" i="45" s="1"/>
  <c r="F37" i="45"/>
  <c r="D41" i="45" s="1"/>
  <c r="D44" i="45" s="1"/>
  <c r="D45" i="45" s="1"/>
  <c r="J41" i="10"/>
  <c r="N41" i="10" s="1"/>
  <c r="N76" i="19"/>
  <c r="N77" i="19"/>
  <c r="N78" i="19"/>
  <c r="N75" i="19"/>
  <c r="M76" i="19"/>
  <c r="M77" i="19"/>
  <c r="M78" i="19"/>
  <c r="M75" i="19"/>
  <c r="L76" i="19"/>
  <c r="L77" i="19"/>
  <c r="L78" i="19"/>
  <c r="L75" i="19"/>
  <c r="I76" i="19"/>
  <c r="I77" i="19"/>
  <c r="I78" i="19"/>
  <c r="I75" i="19"/>
  <c r="H76" i="19"/>
  <c r="H77" i="19"/>
  <c r="H78" i="19"/>
  <c r="H75" i="19"/>
  <c r="G76" i="19"/>
  <c r="G77" i="19"/>
  <c r="G78" i="19"/>
  <c r="G75" i="19"/>
  <c r="C75" i="19"/>
  <c r="D75" i="19"/>
  <c r="C76" i="19"/>
  <c r="D76" i="19"/>
  <c r="C77" i="19"/>
  <c r="D77" i="19"/>
  <c r="C78" i="19"/>
  <c r="D78" i="19"/>
  <c r="B76" i="19"/>
  <c r="B77" i="19"/>
  <c r="B78" i="19"/>
  <c r="N50" i="19"/>
  <c r="N51" i="19"/>
  <c r="N52" i="19"/>
  <c r="N53" i="19"/>
  <c r="N54" i="19"/>
  <c r="N55" i="19"/>
  <c r="N56" i="19"/>
  <c r="N57" i="19"/>
  <c r="N58" i="19"/>
  <c r="N59" i="19"/>
  <c r="N60" i="19"/>
  <c r="N61" i="19"/>
  <c r="N62" i="19"/>
  <c r="N63" i="19"/>
  <c r="N64" i="19"/>
  <c r="N49" i="19"/>
  <c r="M50" i="19"/>
  <c r="M51" i="19"/>
  <c r="M52" i="19"/>
  <c r="M53" i="19"/>
  <c r="M54" i="19"/>
  <c r="M55" i="19"/>
  <c r="M56" i="19"/>
  <c r="M57" i="19"/>
  <c r="M58" i="19"/>
  <c r="M59" i="19"/>
  <c r="M60" i="19"/>
  <c r="M61" i="19"/>
  <c r="M62" i="19"/>
  <c r="M63" i="19"/>
  <c r="M64" i="19"/>
  <c r="M49" i="19"/>
  <c r="L50" i="19"/>
  <c r="L51" i="19"/>
  <c r="L52" i="19"/>
  <c r="L56" i="19"/>
  <c r="L57" i="19"/>
  <c r="L58" i="19"/>
  <c r="L59" i="19"/>
  <c r="L60" i="19"/>
  <c r="L61" i="19"/>
  <c r="L62" i="19"/>
  <c r="L49" i="19"/>
  <c r="I64" i="19"/>
  <c r="I50" i="19"/>
  <c r="I51" i="19"/>
  <c r="I52" i="19"/>
  <c r="I53" i="19"/>
  <c r="I54" i="19"/>
  <c r="I55" i="19"/>
  <c r="I56" i="19"/>
  <c r="I57" i="19"/>
  <c r="I58" i="19"/>
  <c r="I59" i="19"/>
  <c r="I60" i="19"/>
  <c r="I61" i="19"/>
  <c r="I62" i="19"/>
  <c r="I63" i="19"/>
  <c r="I49" i="19"/>
  <c r="H50" i="19"/>
  <c r="H51" i="19"/>
  <c r="H52" i="19"/>
  <c r="H53" i="19"/>
  <c r="H54" i="19"/>
  <c r="H55" i="19"/>
  <c r="H56" i="19"/>
  <c r="H57" i="19"/>
  <c r="H58" i="19"/>
  <c r="H59" i="19"/>
  <c r="H60" i="19"/>
  <c r="H61" i="19"/>
  <c r="H62" i="19"/>
  <c r="H63" i="19"/>
  <c r="H64" i="19"/>
  <c r="H49" i="19"/>
  <c r="G50" i="19"/>
  <c r="G51" i="19"/>
  <c r="G52" i="19"/>
  <c r="G56" i="19"/>
  <c r="G57" i="19"/>
  <c r="G58" i="19"/>
  <c r="G59" i="19"/>
  <c r="G60" i="19"/>
  <c r="G49" i="19"/>
  <c r="H10" i="19"/>
  <c r="E10" i="19"/>
  <c r="B10" i="19"/>
  <c r="B51" i="19"/>
  <c r="C51" i="19"/>
  <c r="D51" i="19"/>
  <c r="B52" i="19"/>
  <c r="D52" i="19"/>
  <c r="C53" i="19"/>
  <c r="D53" i="19"/>
  <c r="C54" i="19"/>
  <c r="D54" i="19"/>
  <c r="C55" i="19"/>
  <c r="D55" i="19"/>
  <c r="B56" i="19"/>
  <c r="C56" i="19"/>
  <c r="D56" i="19"/>
  <c r="B57" i="19"/>
  <c r="C57" i="19"/>
  <c r="D57" i="19"/>
  <c r="B58" i="19"/>
  <c r="C58" i="19"/>
  <c r="D58" i="19"/>
  <c r="B59" i="19"/>
  <c r="C59" i="19"/>
  <c r="D59" i="19"/>
  <c r="B60" i="19"/>
  <c r="C60" i="19"/>
  <c r="D60" i="19"/>
  <c r="B61" i="19"/>
  <c r="C61" i="19"/>
  <c r="D61" i="19"/>
  <c r="B62" i="19"/>
  <c r="C62" i="19"/>
  <c r="D62" i="19"/>
  <c r="C63" i="19"/>
  <c r="D63" i="19"/>
  <c r="C64" i="19"/>
  <c r="D64" i="19"/>
  <c r="B50" i="19"/>
  <c r="C50" i="19"/>
  <c r="D50" i="19"/>
  <c r="C49" i="19"/>
  <c r="D49" i="19"/>
  <c r="U12" i="19"/>
  <c r="G46" i="19" l="1"/>
  <c r="C97" i="14"/>
  <c r="B5" i="14" s="1"/>
  <c r="H97" i="54"/>
  <c r="H105" i="54"/>
  <c r="H101" i="54"/>
  <c r="B79" i="19"/>
  <c r="G79" i="19"/>
  <c r="L79" i="19"/>
  <c r="B65" i="19"/>
  <c r="B66" i="19" s="1"/>
  <c r="B67" i="19" s="1"/>
  <c r="G65" i="19"/>
  <c r="L46" i="19"/>
  <c r="B5" i="52"/>
  <c r="C42" i="35"/>
  <c r="B5" i="35" s="1"/>
  <c r="L70" i="18"/>
  <c r="M70" i="18"/>
  <c r="D54" i="18"/>
  <c r="B46" i="19"/>
  <c r="D56" i="45"/>
  <c r="B5" i="45" s="1"/>
  <c r="E21" i="10" s="1"/>
  <c r="E19" i="10"/>
  <c r="J19" i="10" s="1"/>
  <c r="N19" i="10" s="1"/>
  <c r="C40" i="31"/>
  <c r="C41" i="31" s="1"/>
  <c r="B72" i="19"/>
  <c r="G72" i="19"/>
  <c r="L72" i="19"/>
  <c r="L65" i="19"/>
  <c r="H33" i="19"/>
  <c r="E33" i="19"/>
  <c r="B33" i="19"/>
  <c r="H11" i="19"/>
  <c r="E11" i="19"/>
  <c r="B5" i="15"/>
  <c r="G80" i="19" l="1"/>
  <c r="H106" i="54"/>
  <c r="C5" i="54" s="1"/>
  <c r="B80" i="19"/>
  <c r="L66" i="19"/>
  <c r="L67" i="19" s="1"/>
  <c r="L80" i="19"/>
  <c r="B6" i="14"/>
  <c r="B8" i="14" s="1"/>
  <c r="E20" i="10"/>
  <c r="G66" i="19"/>
  <c r="G67" i="19" s="1"/>
  <c r="E28" i="10"/>
  <c r="J28" i="10" s="1"/>
  <c r="N28" i="10" s="1"/>
  <c r="B6" i="35"/>
  <c r="B8" i="35" s="1"/>
  <c r="E36" i="10"/>
  <c r="J36" i="10" s="1"/>
  <c r="N36" i="10" s="1"/>
  <c r="B6" i="15"/>
  <c r="B8" i="15" s="1"/>
  <c r="E26" i="10"/>
  <c r="J26" i="10" s="1"/>
  <c r="N26" i="10" s="1"/>
  <c r="B6" i="50"/>
  <c r="B8" i="50" s="1"/>
  <c r="E24" i="10"/>
  <c r="J24" i="10" s="1"/>
  <c r="N24" i="10" s="1"/>
  <c r="B6" i="52"/>
  <c r="B8" i="52" s="1"/>
  <c r="B6" i="33"/>
  <c r="B8" i="33" s="1"/>
  <c r="J21" i="10"/>
  <c r="N21" i="10" s="1"/>
  <c r="B6" i="45"/>
  <c r="B8" i="45" s="1"/>
  <c r="F515" i="20"/>
  <c r="H515" i="20" s="1"/>
  <c r="B5" i="48"/>
  <c r="B5" i="31"/>
  <c r="B81" i="19" l="1"/>
  <c r="B82" i="19" s="1"/>
  <c r="B83" i="19" s="1"/>
  <c r="C6" i="67"/>
  <c r="C7" i="67" s="1"/>
  <c r="C9" i="67" s="1"/>
  <c r="E32" i="10"/>
  <c r="E34" i="10" s="1"/>
  <c r="J32" i="10" s="1"/>
  <c r="N32" i="10" s="1"/>
  <c r="E31" i="10"/>
  <c r="J31" i="10" s="1"/>
  <c r="N31" i="10" s="1"/>
  <c r="B6" i="31"/>
  <c r="B8" i="31" s="1"/>
  <c r="B68" i="19"/>
  <c r="B69" i="19" s="1"/>
  <c r="J40" i="10"/>
  <c r="N40" i="10" s="1"/>
  <c r="H521" i="20"/>
  <c r="H522" i="20" s="1"/>
  <c r="E23" i="10"/>
  <c r="J23" i="10" s="1"/>
  <c r="N23" i="10" s="1"/>
  <c r="B6" i="48"/>
  <c r="B8" i="48" s="1"/>
  <c r="N52" i="18"/>
  <c r="N53" i="18"/>
  <c r="N54" i="18"/>
  <c r="N55" i="18"/>
  <c r="N57" i="18"/>
  <c r="N51" i="18"/>
  <c r="D12" i="18"/>
  <c r="C12" i="18"/>
  <c r="B12" i="18"/>
  <c r="A45" i="18"/>
  <c r="B70" i="19" l="1"/>
  <c r="B5" i="19" s="1"/>
  <c r="N69" i="18"/>
  <c r="B12" i="2"/>
  <c r="A57" i="11"/>
  <c r="A43" i="11"/>
  <c r="A30" i="11"/>
  <c r="B10" i="2"/>
  <c r="H539" i="20" l="1"/>
  <c r="B5" i="20" s="1"/>
  <c r="B28" i="2"/>
  <c r="B26" i="2"/>
  <c r="C56" i="2" s="1"/>
  <c r="B20" i="2"/>
  <c r="B18" i="2"/>
  <c r="C46" i="2" s="1"/>
  <c r="E22" i="10"/>
  <c r="J22" i="10" s="1"/>
  <c r="N22" i="10" s="1"/>
  <c r="B6" i="19"/>
  <c r="B8" i="19" s="1"/>
  <c r="N70" i="18"/>
  <c r="E56" i="18" s="1"/>
  <c r="B5" i="18" s="1"/>
  <c r="E54" i="18"/>
  <c r="J20" i="10"/>
  <c r="N20" i="10" s="1"/>
  <c r="B24" i="2"/>
  <c r="B25" i="2" s="1"/>
  <c r="C51" i="2" s="1"/>
  <c r="B6" i="20" l="1"/>
  <c r="B8" i="20" s="1"/>
  <c r="E18" i="10"/>
  <c r="E39" i="10"/>
  <c r="J39" i="10" s="1"/>
  <c r="N39" i="10" s="1"/>
  <c r="B6" i="18"/>
  <c r="B8" i="18" s="1"/>
  <c r="C65" i="2"/>
  <c r="B5" i="2" s="1"/>
  <c r="B6" i="2" l="1"/>
  <c r="B8" i="2" s="1"/>
  <c r="E37" i="10"/>
  <c r="J37" i="10" s="1"/>
  <c r="N37" i="10" s="1"/>
  <c r="J18" i="10"/>
  <c r="N18" i="10" s="1"/>
  <c r="J29" i="10" l="1"/>
  <c r="N29" i="10" s="1"/>
  <c r="B17" i="57"/>
  <c r="D62" i="57" s="1"/>
  <c r="D75" i="57" s="1"/>
  <c r="B5" i="57" s="1"/>
  <c r="E38" i="10" l="1"/>
  <c r="J38" i="10" s="1"/>
  <c r="N38" i="10" s="1"/>
  <c r="B6" i="57"/>
  <c r="B8" i="5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<sst xmlns="http://schemas.openxmlformats.org/spreadsheetml/2006/main" count="2774" uniqueCount="1288">
  <si>
    <t>Exhibit A-5-a Submission Requirements and Evaluation Response</t>
  </si>
  <si>
    <t>Template Instructions</t>
  </si>
  <si>
    <t>SRC Plan Selection</t>
  </si>
  <si>
    <t>Plan/Vendor Name:</t>
  </si>
  <si>
    <t>Sunshine Health Network d/b/a Sunshine LLC</t>
  </si>
  <si>
    <t>Calendar Years</t>
  </si>
  <si>
    <t>Population</t>
  </si>
  <si>
    <t xml:space="preserve">Plan State: </t>
  </si>
  <si>
    <t>Florida</t>
  </si>
  <si>
    <t xml:space="preserve">Comparison State 1: </t>
  </si>
  <si>
    <t>Tennessee</t>
  </si>
  <si>
    <t xml:space="preserve">Comparison State 2: </t>
  </si>
  <si>
    <t>Montana</t>
  </si>
  <si>
    <t>Comprehensive Plans</t>
  </si>
  <si>
    <t>Specialty Plans</t>
  </si>
  <si>
    <t>MMA Only Plans</t>
  </si>
  <si>
    <t>LTC Plus Plans</t>
  </si>
  <si>
    <t>Plan/Respondent Name:</t>
  </si>
  <si>
    <t>State</t>
  </si>
  <si>
    <t>Contract Number</t>
  </si>
  <si>
    <t>Line of Business</t>
  </si>
  <si>
    <t>Target Populations Included</t>
  </si>
  <si>
    <t xml:space="preserve">Calendar Year 1: </t>
  </si>
  <si>
    <t xml:space="preserve">Calendar Year 2: </t>
  </si>
  <si>
    <t xml:space="preserve">Calendar Year 3: </t>
  </si>
  <si>
    <t xml:space="preserve">Contract 1: </t>
  </si>
  <si>
    <t>Yes</t>
  </si>
  <si>
    <t xml:space="preserve">Number of Enrollees: </t>
  </si>
  <si>
    <t>No</t>
  </si>
  <si>
    <t>Total Claim-Based Expenditures:</t>
  </si>
  <si>
    <t xml:space="preserve">Contract 2: </t>
  </si>
  <si>
    <t xml:space="preserve"> Contract 3: </t>
  </si>
  <si>
    <t>SRC#</t>
  </si>
  <si>
    <t>Scores**</t>
  </si>
  <si>
    <t>Points Earned</t>
  </si>
  <si>
    <t>Total Points Available</t>
  </si>
  <si>
    <t>Percent</t>
  </si>
  <si>
    <t>Final Score Possible</t>
  </si>
  <si>
    <t>Final Score</t>
  </si>
  <si>
    <t>Value Based Purchasing:</t>
  </si>
  <si>
    <t>Expanded Benefits - Medical and Long-Term Care:</t>
  </si>
  <si>
    <t>Birth Outcomes:</t>
  </si>
  <si>
    <t>Chronic Disease Management Program:</t>
  </si>
  <si>
    <t>HEDIS Measures:</t>
  </si>
  <si>
    <t>Organizational Commitment to Quality:</t>
  </si>
  <si>
    <t>Person-Centered Care and Patient Centered Medical Homes:</t>
  </si>
  <si>
    <t>Behavioral Health/Primary Care Integration:</t>
  </si>
  <si>
    <t>Telemedicine:</t>
  </si>
  <si>
    <t>Evidence-Based Programs for Children with Intense Behaviors:</t>
  </si>
  <si>
    <t xml:space="preserve"> Essential Provider Networks:</t>
  </si>
  <si>
    <t>Community Partnerships:</t>
  </si>
  <si>
    <t>Expanded Benefits - Pathways to Prosperity:</t>
  </si>
  <si>
    <t>Managed Care Experience:</t>
  </si>
  <si>
    <t>Compliance History:</t>
  </si>
  <si>
    <t>Compliance-Terminations:</t>
  </si>
  <si>
    <t>Total Compliance Points</t>
  </si>
  <si>
    <t>Florida Presence:</t>
  </si>
  <si>
    <t>Managed Care Plan Accreditation:</t>
  </si>
  <si>
    <t>Grievances:</t>
  </si>
  <si>
    <t>Claims Processing and Payment:</t>
  </si>
  <si>
    <t>Provider Engagement Model:</t>
  </si>
  <si>
    <t>Non-Emergency Transportation Performance:</t>
  </si>
  <si>
    <t>Consumer Assessment of Healthcare Providers and Systems Results:</t>
  </si>
  <si>
    <t>Management Experience and Retention:</t>
  </si>
  <si>
    <t>**The quality of a respondent’s ITN is evaluated based on the sum of the weighted *scores.* The scores of individual SRCs are calculated from raw *total points.**</t>
  </si>
  <si>
    <t xml:space="preserve">**Final score is calculated by multiplying the percent of total points earned by the final score possible for each SRC. </t>
  </si>
  <si>
    <t>Medicaid</t>
  </si>
  <si>
    <t>TANF Child - No</t>
  </si>
  <si>
    <t>TANF Child - Yes</t>
  </si>
  <si>
    <t>CHIP</t>
  </si>
  <si>
    <t>TANF Adult - No</t>
  </si>
  <si>
    <t>TANF Adult - Yes</t>
  </si>
  <si>
    <t>Medicare</t>
  </si>
  <si>
    <t>Disabled Child - No</t>
  </si>
  <si>
    <t>Disabled Child - Yes</t>
  </si>
  <si>
    <t>Disabled Adult - No</t>
  </si>
  <si>
    <t>Disabled Adult - Yes</t>
  </si>
  <si>
    <t>LTSS Child - No</t>
  </si>
  <si>
    <t>LTSS Child - Yes</t>
  </si>
  <si>
    <t>LTSS Adult - No</t>
  </si>
  <si>
    <t>LTSS Adult - Yes</t>
  </si>
  <si>
    <t>SRC #13: Value Based Purchasing Scoring Information</t>
  </si>
  <si>
    <t>Back to Respondent Information</t>
  </si>
  <si>
    <t>SRC #13: Value Based Purchasing</t>
  </si>
  <si>
    <t>Item</t>
  </si>
  <si>
    <t>Score</t>
  </si>
  <si>
    <t>Click Here to Go to the Scoring Table</t>
  </si>
  <si>
    <t>Total Points Possible:</t>
  </si>
  <si>
    <t>Points Earned:</t>
  </si>
  <si>
    <t>Percent:</t>
  </si>
  <si>
    <t xml:space="preserve">Final Score Possible: </t>
  </si>
  <si>
    <t xml:space="preserve">Value-Based Purchasing SRC Final Score: </t>
  </si>
  <si>
    <t>Total Enrollee Count in Contract (member-months/12)</t>
  </si>
  <si>
    <t>Total Claim-Based Expenditures for all Enrollees</t>
  </si>
  <si>
    <t>VBP Contract Title</t>
  </si>
  <si>
    <t>VBP Model Type</t>
  </si>
  <si>
    <t>LAN-Category</t>
  </si>
  <si>
    <t>Description</t>
  </si>
  <si>
    <t>Attributed Enrollee Count (include overlap, LAN 2A+)</t>
  </si>
  <si>
    <t>Attributed Enrollee Count (exclude overlap, LAN 2A+)</t>
  </si>
  <si>
    <t>Measured Claim-Based Expenditures for Attributed Enrollees (include overlap, LAN 3A+ only)</t>
  </si>
  <si>
    <t>Total Claim-Based Expenditures for Attributed Enrollees (include overlap, LAN 3A+ only)</t>
  </si>
  <si>
    <t>Total Claim-Based Expenditures Billed by Providers in VBP Agreement</t>
  </si>
  <si>
    <t>Enhanced Primary Care</t>
  </si>
  <si>
    <t>LAN 4B</t>
  </si>
  <si>
    <t>Population-Based</t>
  </si>
  <si>
    <t>Targeted Population-Based</t>
  </si>
  <si>
    <t>Targeted Enhanced Primary Care</t>
  </si>
  <si>
    <t>Episode-Based</t>
  </si>
  <si>
    <t>Quality</t>
  </si>
  <si>
    <t>Foundational Payments for Infrastructure &amp; Operations</t>
  </si>
  <si>
    <t>Other</t>
  </si>
  <si>
    <t>LAN 2A</t>
  </si>
  <si>
    <t>LAN 2B</t>
  </si>
  <si>
    <t>LAN 3A</t>
  </si>
  <si>
    <t>LAN 3B</t>
  </si>
  <si>
    <t>LAN 4A</t>
  </si>
  <si>
    <t xml:space="preserve">Scores: </t>
  </si>
  <si>
    <t>Back to Top</t>
  </si>
  <si>
    <t>Measurement/Calendar Year</t>
  </si>
  <si>
    <t>Year 1</t>
  </si>
  <si>
    <t>Year 2</t>
  </si>
  <si>
    <t>Year 3</t>
  </si>
  <si>
    <t>Three Year Average</t>
  </si>
  <si>
    <t>Total Enrollee Count in Contract. All Enrollees covered by Managed Care Plan (Member Months/12).</t>
  </si>
  <si>
    <t>Total Claim-Based Expenditures for all Medicaid beneficiaries.</t>
  </si>
  <si>
    <t>State Points Earned:</t>
  </si>
  <si>
    <t>Weighted State Points Earned:</t>
  </si>
  <si>
    <t>Total Points Earned:</t>
  </si>
  <si>
    <t>Min State 1</t>
  </si>
  <si>
    <t>Min State 2</t>
  </si>
  <si>
    <t>Min State 3</t>
  </si>
  <si>
    <t xml:space="preserve">SRC #14: Expanded Benefits - Medical and Long-Term Care </t>
  </si>
  <si>
    <t>Scoring Information</t>
  </si>
  <si>
    <t>SRC #14: Expanded Benefits - Medical and Long-Term Care</t>
  </si>
  <si>
    <t>Final Score Possible:</t>
  </si>
  <si>
    <t>Expanded Benefits SRC Final Score:</t>
  </si>
  <si>
    <t>Line of Business:</t>
  </si>
  <si>
    <t>Offered</t>
  </si>
  <si>
    <t>Over-the-Counter (OTC) medications and supplies</t>
  </si>
  <si>
    <t>Adult visual aid services</t>
  </si>
  <si>
    <t>Adult additional primary care services</t>
  </si>
  <si>
    <t>Prenatal Services</t>
  </si>
  <si>
    <t>Durable medical Equipment (DME) services and supplies</t>
  </si>
  <si>
    <t>Physical therapy for adults</t>
  </si>
  <si>
    <t>Newborn circumcision</t>
  </si>
  <si>
    <t>Hearing services for adults</t>
  </si>
  <si>
    <t>Occupational therapy for adults</t>
  </si>
  <si>
    <t>Criteria</t>
  </si>
  <si>
    <t>Points Available</t>
  </si>
  <si>
    <t>Additional Proposed Expanded Benefits</t>
  </si>
  <si>
    <t>For Pregnant Women</t>
  </si>
  <si>
    <t>For Children with SMI and/or SUD</t>
  </si>
  <si>
    <t>Enrollees in HCBS</t>
  </si>
  <si>
    <t>People Living with HIV</t>
  </si>
  <si>
    <t>SRC #15: Birth Outcomes Scoring Information</t>
  </si>
  <si>
    <t>SRC #15: Birth Outcomes Scoring Information (continued)</t>
  </si>
  <si>
    <t>SRC #15: Birth Outcomes</t>
  </si>
  <si>
    <t>Click Here to Go to Scoring Table</t>
  </si>
  <si>
    <t>Birth Outcomes SRC Final Score:</t>
  </si>
  <si>
    <t>Number of obstetrician (OB) physicians in network that have specialty certification in Maternal Fetal Medicine (MFM) at the time of application submission.</t>
  </si>
  <si>
    <t>Average rate of Nulliparous, Term, Singleton, Vertex (NTSV) Cesarean Births, as a percentage of all deliveries in CY2022 for all OB physicians in proposed network.</t>
  </si>
  <si>
    <t>Percent of OB physicians in network that are Black women</t>
  </si>
  <si>
    <t>Percent of OB physicians in network that are Hispanic women</t>
  </si>
  <si>
    <t>Percent of OB physicians who fluently speak English and Spanish</t>
  </si>
  <si>
    <t xml:space="preserve">Indicate which Healthy Start Coalitions you have a signed agreement with for services at the time of application submission: </t>
  </si>
  <si>
    <t>Bay, Franklin, Gulf Healthy Start Coalition, Inc.</t>
  </si>
  <si>
    <t>Healthy Start Coalition of Brevard County</t>
  </si>
  <si>
    <t>Broward Health Start Coalition, Inc.</t>
  </si>
  <si>
    <t>Capital Area Healthy Start Coalition, Inc.</t>
  </si>
  <si>
    <t xml:space="preserve">Central Healthy Start, Inc. </t>
  </si>
  <si>
    <t>Charlotte County Healthy Start Coalition, Inc.</t>
  </si>
  <si>
    <t>Chipola Healthy Start</t>
  </si>
  <si>
    <t>Healthy Start Coalition of Miami-Dade, Inc.</t>
  </si>
  <si>
    <t>Escambia County Healthy Start Coalition, Inc.</t>
  </si>
  <si>
    <t>The Healthy Start Coalition of Flagler &amp; Volusia Counties, Inc.</t>
  </si>
  <si>
    <t>Gadsden County Healthy Start Coalition</t>
  </si>
  <si>
    <t>Healthy Start Coalition of Hillsborough County, Inc.</t>
  </si>
  <si>
    <t>Healthy Start Coalition of Hardee, Highlands, &amp; Polk Counties, Inc.</t>
  </si>
  <si>
    <t>Indian River County Healthy Start Coalition, Inc.</t>
  </si>
  <si>
    <t xml:space="preserve">Healthy Start Coalition of Jefferson, Madison, and Taylor Counties, Inc. </t>
  </si>
  <si>
    <t>Florida Keys Healthy Start Coalition, Inc.</t>
  </si>
  <si>
    <t>Healthy start Coalition of St. Lucie County, Inc.</t>
  </si>
  <si>
    <t>Healthy Start Coalition of Manatee County, Inc.</t>
  </si>
  <si>
    <t>Martin County Health Start Coalition, Inc.</t>
  </si>
  <si>
    <t>Healthy Start of North Central Florida, Inc.</t>
  </si>
  <si>
    <t>Northeast Florida Healthy Start Coalition, Inc.</t>
  </si>
  <si>
    <t>Okeechobee County Family Health/Healthy Start Coalition, Inc.</t>
  </si>
  <si>
    <t>Healthy Start Coalition of Orange County, Inc.</t>
  </si>
  <si>
    <t>The Healthy Start Coalition of Osceola County, Inc.</t>
  </si>
  <si>
    <t>Healthy Start Community Coalition of Okaloosa and Walton Counties, Inc.</t>
  </si>
  <si>
    <t>Healthy Start Coalition of Pasco County, Inc.</t>
  </si>
  <si>
    <t>Healthy Start Coalition of Palm Beach County, Inc.</t>
  </si>
  <si>
    <t>Healthy Start Coalition of Pinellas County, Inc.</t>
  </si>
  <si>
    <t>Healthy Start Coalition of Sarasota County, Inc.</t>
  </si>
  <si>
    <t>Healthy Start Coalition of Santa Rosa County</t>
  </si>
  <si>
    <t>Seminole County Healthy Start Coalition, Inc.</t>
  </si>
  <si>
    <t>Healthy Start Coalition of Southwest Florida, Inc.</t>
  </si>
  <si>
    <t>Number of Local Early Step Offices with which the respondent has a signed agreement for services at the time of application submission</t>
  </si>
  <si>
    <t>Western Panhandle Early Steps</t>
  </si>
  <si>
    <t>Big Bend Early Steps</t>
  </si>
  <si>
    <t>North Central Early Steps</t>
  </si>
  <si>
    <t>Northeaster Early Steps</t>
  </si>
  <si>
    <t>North Beaches Early Steps</t>
  </si>
  <si>
    <t>West Central Early Steps</t>
  </si>
  <si>
    <t>Bay Area Early Steps</t>
  </si>
  <si>
    <t>Central Florida Early Steps</t>
  </si>
  <si>
    <t>Space Coast Early Steps</t>
  </si>
  <si>
    <t>Gulf Central Early Steps</t>
  </si>
  <si>
    <t>Treasure Coast Early Steps</t>
  </si>
  <si>
    <t>Southwest Florida Early Steps</t>
  </si>
  <si>
    <t>Gold Coast Early Steps</t>
  </si>
  <si>
    <t>North Dade Early Steps</t>
  </si>
  <si>
    <t>Southernmost Coast Early Steps</t>
  </si>
  <si>
    <t>Percent of in-network hospitals that are participating in two or more of Florida Perinatal Quality Collaborative’s (FPQC) Quality Initiatives, at the time of application submission, including but not limited to Postpartum Access &amp; Continuity of Care (PACC) Initiative, Perinatal Quality Indicators (PQI), Social Determinants of Health (SDOH) Initiative, or PAIRED Initiative – Family Centered Care in the NICU</t>
  </si>
  <si>
    <t>Percent of OB physicians in network who had a value-based purchasing agreement with any Medicaid managed care plan in CY2022</t>
  </si>
  <si>
    <t>Average percent of pregnant women in CY2022 receiving at least two in-person visits by a doula</t>
  </si>
  <si>
    <t>Average percent of pregnant women in CY2022 receiving at least one in-person visit by a midwife</t>
  </si>
  <si>
    <t>Evaluation Criteria</t>
  </si>
  <si>
    <t xml:space="preserve">Number of Healthy Start Coalitions with which the respondent has a signed agreement for services </t>
  </si>
  <si>
    <t xml:space="preserve">Number of Local Early Step Offices with which the respondent has a signed agreement for services </t>
  </si>
  <si>
    <t xml:space="preserve">SRC #16: Chronic Disease Management Program </t>
  </si>
  <si>
    <t>SRC #16: Chronic Disease Management Program</t>
  </si>
  <si>
    <t>Disease Management SRC Final Score:</t>
  </si>
  <si>
    <t xml:space="preserve">Indicate the diseases for which management programs have been implemented under each contract: </t>
  </si>
  <si>
    <t>Cancer</t>
  </si>
  <si>
    <t>Total Number of Enrollees with Cancer</t>
  </si>
  <si>
    <t>Total number of enrollees with cancer who participated in chronic disease management program</t>
  </si>
  <si>
    <t>Percent of enrollees with cancer who participated in chronic disease management program</t>
  </si>
  <si>
    <t>Depression</t>
  </si>
  <si>
    <t>Diabetes (Type 1 or Type 2)</t>
  </si>
  <si>
    <t>Total Number of Enrollees with Diabetes (type 1 and type 2)</t>
  </si>
  <si>
    <t>Total number of enrollees who participated in a chronic disease management program for diabetes</t>
  </si>
  <si>
    <t>Percent of enrollees with diabetes who participated in a chronic disease management program for diabetes</t>
  </si>
  <si>
    <t>HIV/AIDS</t>
  </si>
  <si>
    <t>Anxiety Disorders</t>
  </si>
  <si>
    <t>Asthma</t>
  </si>
  <si>
    <t>Attention deficit hyperactivity disorder</t>
  </si>
  <si>
    <t>Bipolar disorder</t>
  </si>
  <si>
    <t>Cardiovascular disease</t>
  </si>
  <si>
    <t>Chronic kidney disease</t>
  </si>
  <si>
    <t>Chronic obstructive pulmonary disease</t>
  </si>
  <si>
    <t>Dementia</t>
  </si>
  <si>
    <t>Hypertension</t>
  </si>
  <si>
    <t>Osteoporosis</t>
  </si>
  <si>
    <t>Parkinson's disease</t>
  </si>
  <si>
    <t>Sickle cell disease</t>
  </si>
  <si>
    <t>Substance use disorders</t>
  </si>
  <si>
    <t>Chronic Disease Programs</t>
  </si>
  <si>
    <t>Percent of enrollees with cancer who participated in a chronic disease management program for cancer</t>
  </si>
  <si>
    <t xml:space="preserve">Percent of enrollees with diabetes (type 1 and type 2) who participated in a chronic disease management program for diabetes </t>
  </si>
  <si>
    <t xml:space="preserve">Points Weighted by Line of Business: </t>
  </si>
  <si>
    <t>SRC #17: HEDIS Measures Scoring Information</t>
  </si>
  <si>
    <t>SRC #17: HEDIS Measures Scoring Information (continued)</t>
  </si>
  <si>
    <t>LTSS HEDIS Measures- Florida Medicaid Statewide Weighted Means</t>
  </si>
  <si>
    <t>Comprehensive Assessment and Update - Core Elements</t>
  </si>
  <si>
    <t>Comprehensive Care Plan and Update - Core Elements</t>
  </si>
  <si>
    <t>Shared Care Plan with Primary Care Practitioner</t>
  </si>
  <si>
    <t>Reassessment/Care Plan Update after Inpatient Discharge - Reassessment</t>
  </si>
  <si>
    <t>SRC #17: HEDIS Measures</t>
  </si>
  <si>
    <t>HEDIS SRC Final Score:</t>
  </si>
  <si>
    <t>National Means</t>
  </si>
  <si>
    <t>Geographic Area of Contract (Statewide vs. Not Statewide)</t>
  </si>
  <si>
    <t>Statewide</t>
  </si>
  <si>
    <t>Number of Florida Medicaid Regions Covered (if applicable)</t>
  </si>
  <si>
    <t>\</t>
  </si>
  <si>
    <t>Not Statewide</t>
  </si>
  <si>
    <t>HEDIS Measure</t>
  </si>
  <si>
    <t>Adults' Access to Preventive/Ambulatory Health Services - Total</t>
  </si>
  <si>
    <t>CY 2019</t>
  </si>
  <si>
    <t>CY 2020</t>
  </si>
  <si>
    <t>CY 2021</t>
  </si>
  <si>
    <t>Adherence to Antipsychotic Medications for Individuals with Schizophrenia</t>
  </si>
  <si>
    <t>Antidepressant Medication Management - Acute Phase</t>
  </si>
  <si>
    <t>Asthma Medication Ratio - Total</t>
  </si>
  <si>
    <t>Child and Adolescent Well-Care Visits - Ages 3-11</t>
  </si>
  <si>
    <t>Child and Adolescent Well-Care Visits - Ages 12-17</t>
  </si>
  <si>
    <t>Child and Adolescent Well-Care Visits - Ages 18-21</t>
  </si>
  <si>
    <t>Childhood Immunization Status - Combo 3</t>
  </si>
  <si>
    <t>Comprehensive Diabetes Care - HbA1c Control (&lt;8%)</t>
  </si>
  <si>
    <t>Controlling High Blood Pressure</t>
  </si>
  <si>
    <t>Follow-up after Hospitalization for Mental Illness - Total - 7-day Follow-up</t>
  </si>
  <si>
    <t>Immunizations for Adolescents - Combo 1</t>
  </si>
  <si>
    <t>Postpartum Care</t>
  </si>
  <si>
    <t>Timeliness of Prenatal Care</t>
  </si>
  <si>
    <t>Well-Child Visits in the First 30 Months - Ages 0-15 Mos</t>
  </si>
  <si>
    <t>Well-Child Visits in the First 30 Months - Ages 15-30 Mos</t>
  </si>
  <si>
    <t>Florida Medicaid Statewide Weighted Means</t>
  </si>
  <si>
    <t>LTSS HEDIS Measures</t>
  </si>
  <si>
    <t>SCORING MATRIX: HEDIS Measures</t>
  </si>
  <si>
    <t>Exceeds National Mean</t>
  </si>
  <si>
    <t>Increased from Previous Year</t>
  </si>
  <si>
    <t xml:space="preserve">Total Unweighted Points: </t>
  </si>
  <si>
    <t xml:space="preserve">Weighted by Line of Business: </t>
  </si>
  <si>
    <t>Weighted by Geography:</t>
  </si>
  <si>
    <t>Total Weighted Points:</t>
  </si>
  <si>
    <t>Divided by Total Possible Points:</t>
  </si>
  <si>
    <t>Aggregate Score:</t>
  </si>
  <si>
    <t>Scoring Matrix: LTSS HEDIS Measures</t>
  </si>
  <si>
    <t>Exceeds State Mean</t>
  </si>
  <si>
    <t xml:space="preserve">Percent of Total Points: </t>
  </si>
  <si>
    <t xml:space="preserve">Aggregate Score: </t>
  </si>
  <si>
    <t>SRC #18: Organizational Commitment to Quality</t>
  </si>
  <si>
    <t>Organizational Commitment to Quality SRC Final Score:</t>
  </si>
  <si>
    <t>Project Focus</t>
  </si>
  <si>
    <t>Birth Outcomes</t>
  </si>
  <si>
    <t>Key Metric</t>
  </si>
  <si>
    <t>Home and Community-Based Services</t>
  </si>
  <si>
    <t>Baseline Key Metric Rate</t>
  </si>
  <si>
    <t>Mental Health</t>
  </si>
  <si>
    <t>Key Metric Rate after Project</t>
  </si>
  <si>
    <t>Other Focus</t>
  </si>
  <si>
    <t>Change in Key Metric Rate in %</t>
  </si>
  <si>
    <t>% of Enrollees Targeted</t>
  </si>
  <si>
    <t>Change in Key Metric Rate</t>
  </si>
  <si>
    <t>% of Enrollees Targeted by QI Project</t>
  </si>
  <si>
    <t>Points Weighted by Line of Business:</t>
  </si>
  <si>
    <t xml:space="preserve">Total Points Earned: </t>
  </si>
  <si>
    <t>SRC #19: Person-Centered Care and Patient Centered</t>
  </si>
  <si>
    <t>Medical Homes Scoring Information</t>
  </si>
  <si>
    <t>Medical Homes Scoring Information (continued)</t>
  </si>
  <si>
    <t>SRC #19: Person-Centered Care and Patient Centered Medical Homes</t>
  </si>
  <si>
    <t xml:space="preserve">Total Points Possible: </t>
  </si>
  <si>
    <t>Person-Centered Care SRC Final Score:</t>
  </si>
  <si>
    <t>Physician Specialties</t>
  </si>
  <si>
    <t>Family Practice</t>
  </si>
  <si>
    <t>Internal Medicine</t>
  </si>
  <si>
    <t>Pediatrics</t>
  </si>
  <si>
    <t>Obstetrics/Gynecology</t>
  </si>
  <si>
    <t>Infectious Diseases</t>
  </si>
  <si>
    <t>Adult Psychiatrists</t>
  </si>
  <si>
    <t>Child Psychiatrists</t>
  </si>
  <si>
    <t>Report the percentage of enrollees, separated by age groups, who had a signed agreement for participant direction option (PDO) services in their enrollee record</t>
  </si>
  <si>
    <t>21-44 years of age</t>
  </si>
  <si>
    <t>45 years of age or older</t>
  </si>
  <si>
    <t>Percentage of enrollees that have had outpatient encounters with the same Primary Care Provider at least two times in the last three years, with at least one outpatient visit in CY2019 and one outpatient visit in CY2021</t>
  </si>
  <si>
    <t>For Prospective Contract with Florida Medicaid</t>
  </si>
  <si>
    <t xml:space="preserve">Indicate which of the following Florida children's hospitals you have a written contract with at the time of application submission that includes coordination of care in a multidisciplinary clinic for medically complex children </t>
  </si>
  <si>
    <t>John's Hopkins All Children's Hospital in St. Petersburg</t>
  </si>
  <si>
    <t>Contracts</t>
  </si>
  <si>
    <t>Nemours Children's Hospital in Orlando</t>
  </si>
  <si>
    <t>Nicklaus Children's Hospital in Miami</t>
  </si>
  <si>
    <t>Wolfson Children's Hospital in Jacksonville</t>
  </si>
  <si>
    <t>Arnold Palmer Hospital for Children in Orlando</t>
  </si>
  <si>
    <t>Florida Hospital for Children in Orlando</t>
  </si>
  <si>
    <t>Joe DiMaggio Children's Hospital in Hollywood</t>
  </si>
  <si>
    <t>St. Joseph's Children's Hospital in Tampa</t>
  </si>
  <si>
    <t>UF Health Shands Children's Hospital</t>
  </si>
  <si>
    <t>University of Miami Holtz Children's Hospital of Miami</t>
  </si>
  <si>
    <t>Children's Medical Center at Tampa General Hospital</t>
  </si>
  <si>
    <t>Golisano Children's Hospital of Southwest Florida</t>
  </si>
  <si>
    <t>Palm Beach Children's Hospital at St. Mary's Medical Center</t>
  </si>
  <si>
    <t>Salah Foundation Children's Hospital</t>
  </si>
  <si>
    <t>Studer Family Children's Hospital</t>
  </si>
  <si>
    <t>Age 21-44</t>
  </si>
  <si>
    <t>Age 45+</t>
  </si>
  <si>
    <t>% of Enrollees with Outpatient Encounters with the Same PCP</t>
  </si>
  <si>
    <t>Prospective Florida Medicaid</t>
  </si>
  <si>
    <t>Number of Contracted Children's Hospitals</t>
  </si>
  <si>
    <t>SRC #20: Behavioral Health/Primary Care Integration Scoring Information</t>
  </si>
  <si>
    <t>(Continued)</t>
  </si>
  <si>
    <t>SRC #20: Behavioral Health/Primary Care Integration</t>
  </si>
  <si>
    <t>Behavioral Health/Primary Care Integration SRC Final Score:</t>
  </si>
  <si>
    <t>Total Number</t>
  </si>
  <si>
    <t>Psychiatrist</t>
  </si>
  <si>
    <t>Psychologist</t>
  </si>
  <si>
    <t>Licensed Clinical Social Worker</t>
  </si>
  <si>
    <t>Licensed Professional Counselor</t>
  </si>
  <si>
    <t>Licensed Mental Health Counselor</t>
  </si>
  <si>
    <t>All PCPs in-network</t>
  </si>
  <si>
    <t>Pediatricians (including Adolescent Medicine) in-network</t>
  </si>
  <si>
    <t>Obstetricians/Gynecologists in-network</t>
  </si>
  <si>
    <t>Psychiatrists in-network</t>
  </si>
  <si>
    <t>All Providers in Network</t>
  </si>
  <si>
    <t>Unutilized Physicians</t>
  </si>
  <si>
    <t>Peripheral Physicians</t>
  </si>
  <si>
    <t>Standard Physicians</t>
  </si>
  <si>
    <t>Core Physicians</t>
  </si>
  <si>
    <t>All Adult PCPs in-network</t>
  </si>
  <si>
    <t>All Pediatric PCPs in-network</t>
  </si>
  <si>
    <t>All Obstetricians in-network</t>
  </si>
  <si>
    <t>All Cardiologists in-network</t>
  </si>
  <si>
    <t>All Psychiatrists in-network</t>
  </si>
  <si>
    <t>University of South Florida’s Florida Center for Behavioral Health Improvements and Solutions</t>
  </si>
  <si>
    <t>Florida State University’s College of Medicine Center for Behavioral Health Integration and their partner the Tallahassee Pediatric Behavioral Health Center</t>
  </si>
  <si>
    <t>University of Florida’s Department of Psychiatry, Division of Child &amp; Adolescent Psychiatry</t>
  </si>
  <si>
    <t>University of Miami’s Miller School of Medicine Department of Psychiatry and Behavioral Sciences</t>
  </si>
  <si>
    <t>Florida International University’s Herbert Wertheim College of Medicine Department of Psychiatry and Behavioral Health</t>
  </si>
  <si>
    <t>Nemours Children’s Hospital, Division of Developmental and Behavioral Pediatrics, Orlando Florida</t>
  </si>
  <si>
    <t>Provider Type</t>
  </si>
  <si>
    <t>All Primary Care Providers (PCPs) in Network</t>
  </si>
  <si>
    <t>Points Available Per Year</t>
  </si>
  <si>
    <t>Points Earned - Year 1</t>
  </si>
  <si>
    <t>Points Earned - Year 2</t>
  </si>
  <si>
    <t>Points Earned - Year 3</t>
  </si>
  <si>
    <t xml:space="preserve">State Points Earned: </t>
  </si>
  <si>
    <t xml:space="preserve">All Primary Care Providers in network  </t>
  </si>
  <si>
    <t>Pediatricians (including Adolescent Medicine) in network</t>
  </si>
  <si>
    <t xml:space="preserve">Obstetricians/Gynecologists in network </t>
  </si>
  <si>
    <t>Cardiologists in network</t>
  </si>
  <si>
    <t xml:space="preserve">Psychiatrists in network </t>
  </si>
  <si>
    <t>Contract Hub</t>
  </si>
  <si>
    <t xml:space="preserve">Points Available </t>
  </si>
  <si>
    <t>SRC #23: Telemedicine Scoring Information</t>
  </si>
  <si>
    <t>SRC #23: Telemedicine Scoring Information (continued)</t>
  </si>
  <si>
    <t>SRC #23: Telemedicine</t>
  </si>
  <si>
    <t>Telemedicine SRC Final Score:</t>
  </si>
  <si>
    <t>Year:</t>
  </si>
  <si>
    <t>% Who Made a Claim for at Least One Telemedicine Encounter</t>
  </si>
  <si>
    <t>% Who Will Offer Telemedicine Visits</t>
  </si>
  <si>
    <t>Emergency Medical Physicians</t>
  </si>
  <si>
    <t>Mental Health Therapists</t>
  </si>
  <si>
    <t>% with At Least One Telemedicine Encounter-- Points Available</t>
  </si>
  <si>
    <t>% with At Least One Telemedicine Encounter-- Points Earned</t>
  </si>
  <si>
    <t xml:space="preserve"> </t>
  </si>
  <si>
    <t>SRC #24: Evidence-Based Programs for Children with</t>
  </si>
  <si>
    <t>Intense Behaviors Scoring Information</t>
  </si>
  <si>
    <t>Intense Behaviors Scoring Information (continued)</t>
  </si>
  <si>
    <t>SRC #24: Evidence-Based Programs for Children with Intense Behaviors</t>
  </si>
  <si>
    <t>Evidence-Based Programs for Children with Intense Behaviors SRC Final Score:</t>
  </si>
  <si>
    <t>Indicate which of the following Evidence-Based Programs for Children with Intense Behaviors will be offered to Enrollees and the proposed billing code for each service:</t>
  </si>
  <si>
    <t>CPT or HCPCS Code</t>
  </si>
  <si>
    <t>Homebuilders</t>
  </si>
  <si>
    <t>Motivational Interviewing</t>
  </si>
  <si>
    <t>Multisystemic Therapy</t>
  </si>
  <si>
    <t>Parent-Child Interaction Therapy</t>
  </si>
  <si>
    <t>Functional Family Therapy</t>
  </si>
  <si>
    <t>Parents as Teachers</t>
  </si>
  <si>
    <t>Brief Strategic Family Therapy</t>
  </si>
  <si>
    <t>Healthy Families</t>
  </si>
  <si>
    <t>Nurse Family Partnership</t>
  </si>
  <si>
    <t>Scores:</t>
  </si>
  <si>
    <t>Recipient Selected All Services</t>
  </si>
  <si>
    <t>SRC #25: Essential Provider Networks Scoring Information</t>
  </si>
  <si>
    <t>SRC #25: Essential Provider Networks</t>
  </si>
  <si>
    <t>Essential Provider Networks SRC Final Score:</t>
  </si>
  <si>
    <t>Service Provider Type</t>
  </si>
  <si>
    <t>Agreements/Contracts</t>
  </si>
  <si>
    <t>Statewide Essential Count</t>
  </si>
  <si>
    <t>%</t>
  </si>
  <si>
    <t xml:space="preserve">Statewide Essential </t>
  </si>
  <si>
    <t xml:space="preserve">Please indicate which of the following Statewide Essential Providers have a fully executed agreement/contract in place: </t>
  </si>
  <si>
    <t>Hospital Name</t>
  </si>
  <si>
    <t>Agreement/Contract In Place</t>
  </si>
  <si>
    <t>Tampa General Hospital</t>
  </si>
  <si>
    <t>Shands Teaching Hospital</t>
  </si>
  <si>
    <t>Shands-Jacksonville</t>
  </si>
  <si>
    <t>Jackson Memorial Hospital, Jackson Health System</t>
  </si>
  <si>
    <t>Sacred Heart Hospital</t>
  </si>
  <si>
    <t>Winnie Palmer Hospital at Arnold Palmer Medical Center, Orlando Health</t>
  </si>
  <si>
    <t>NEO: All Children's Hospital</t>
  </si>
  <si>
    <t>OB: Bayfront Medical Center</t>
  </si>
  <si>
    <t>St. Mary's Medical Center</t>
  </si>
  <si>
    <t>Broward General Medical Center</t>
  </si>
  <si>
    <t>Memorial Regional Medical Center-Lee Memorial Health System</t>
  </si>
  <si>
    <t>University of Florida-Gainesville</t>
  </si>
  <si>
    <t>University of Florida-Jacksonville</t>
  </si>
  <si>
    <t>University of Miami</t>
  </si>
  <si>
    <t>University of South Florida</t>
  </si>
  <si>
    <t>University of Central Florida</t>
  </si>
  <si>
    <t>Florical Medical Practice Plan Inc. (FSU)</t>
  </si>
  <si>
    <t>Florida International University</t>
  </si>
  <si>
    <t>John Hopkins All Children's Hospital</t>
  </si>
  <si>
    <t>Wolfson's Children's Hospital</t>
  </si>
  <si>
    <t>Nemours Children's Hospital</t>
  </si>
  <si>
    <t>Nicklaus Children's Hospital</t>
  </si>
  <si>
    <t>H. Lee Moffitt Cancer and Research Institute</t>
  </si>
  <si>
    <t>University of Miami Hospital and Clinics-Sylvester Comprehensive</t>
  </si>
  <si>
    <t>Percentage of Agreements/Contracts</t>
  </si>
  <si>
    <t>0-39%</t>
  </si>
  <si>
    <t>40-59%</t>
  </si>
  <si>
    <t>60-74%</t>
  </si>
  <si>
    <t>75-89%</t>
  </si>
  <si>
    <t>90-99%</t>
  </si>
  <si>
    <t>SRC #26: Community Partnerships Scoring Information</t>
  </si>
  <si>
    <t>(continued)</t>
  </si>
  <si>
    <t>SRC #26: Community Partnerships</t>
  </si>
  <si>
    <t>Community Partnerships SRC Final Score:</t>
  </si>
  <si>
    <t>Row 1</t>
  </si>
  <si>
    <t>Row 2</t>
  </si>
  <si>
    <t>Row 3</t>
  </si>
  <si>
    <t>Row 4</t>
  </si>
  <si>
    <t>Row 5</t>
  </si>
  <si>
    <t>Row 6</t>
  </si>
  <si>
    <t>Row 7</t>
  </si>
  <si>
    <t>Row 8</t>
  </si>
  <si>
    <t>Row 9</t>
  </si>
  <si>
    <t>Row 10</t>
  </si>
  <si>
    <t>Row 11</t>
  </si>
  <si>
    <t>Row 12</t>
  </si>
  <si>
    <t>Row 13</t>
  </si>
  <si>
    <t>Row 14</t>
  </si>
  <si>
    <t>Row 15</t>
  </si>
  <si>
    <t>Row 16</t>
  </si>
  <si>
    <t>Row 17</t>
  </si>
  <si>
    <t>Row 18</t>
  </si>
  <si>
    <t>Row 19</t>
  </si>
  <si>
    <t>Row 20</t>
  </si>
  <si>
    <t>Row 21</t>
  </si>
  <si>
    <t>Row 22</t>
  </si>
  <si>
    <t>Row 23</t>
  </si>
  <si>
    <t>Row 24</t>
  </si>
  <si>
    <t>Row 25</t>
  </si>
  <si>
    <t>Row 26</t>
  </si>
  <si>
    <t>Row 27</t>
  </si>
  <si>
    <t>Row 28</t>
  </si>
  <si>
    <t>Row 29</t>
  </si>
  <si>
    <t>Row 30</t>
  </si>
  <si>
    <t>Row 31</t>
  </si>
  <si>
    <t>Row 32</t>
  </si>
  <si>
    <t>Row 33</t>
  </si>
  <si>
    <t>Row 34</t>
  </si>
  <si>
    <t>Row 35</t>
  </si>
  <si>
    <t>Row 36</t>
  </si>
  <si>
    <t>Row 37</t>
  </si>
  <si>
    <t>Row 38</t>
  </si>
  <si>
    <t>Row 39</t>
  </si>
  <si>
    <t>Row 40</t>
  </si>
  <si>
    <t>Row 41</t>
  </si>
  <si>
    <t>Row 42</t>
  </si>
  <si>
    <t>Row 43</t>
  </si>
  <si>
    <t>Row 44</t>
  </si>
  <si>
    <t>Row 45</t>
  </si>
  <si>
    <t>Row 46</t>
  </si>
  <si>
    <t>Row 47</t>
  </si>
  <si>
    <t>Row 48</t>
  </si>
  <si>
    <t>Row 49</t>
  </si>
  <si>
    <t>Row 50</t>
  </si>
  <si>
    <t>Row 51</t>
  </si>
  <si>
    <t>Row 52</t>
  </si>
  <si>
    <t>Row 53</t>
  </si>
  <si>
    <t>Row 54</t>
  </si>
  <si>
    <t>Row 55</t>
  </si>
  <si>
    <t>Row 56</t>
  </si>
  <si>
    <t>Row 57</t>
  </si>
  <si>
    <t>Row 58</t>
  </si>
  <si>
    <t>Row 59</t>
  </si>
  <si>
    <t>Row 60</t>
  </si>
  <si>
    <t>Row 61</t>
  </si>
  <si>
    <t>Row 62</t>
  </si>
  <si>
    <t>Row 63</t>
  </si>
  <si>
    <t>Row 64</t>
  </si>
  <si>
    <t>Row 65</t>
  </si>
  <si>
    <t>Row 66</t>
  </si>
  <si>
    <t>Row 67</t>
  </si>
  <si>
    <t>Row 68</t>
  </si>
  <si>
    <t>Row 69</t>
  </si>
  <si>
    <t>Row 70</t>
  </si>
  <si>
    <t>Row 71</t>
  </si>
  <si>
    <t>Row 72</t>
  </si>
  <si>
    <t>Row 73</t>
  </si>
  <si>
    <t>Row 74</t>
  </si>
  <si>
    <t>Row 75</t>
  </si>
  <si>
    <t>Row 76</t>
  </si>
  <si>
    <t>Row 77</t>
  </si>
  <si>
    <t>Row 78</t>
  </si>
  <si>
    <t>Row 79</t>
  </si>
  <si>
    <t>Row 80</t>
  </si>
  <si>
    <t>Row 81</t>
  </si>
  <si>
    <t>Row 82</t>
  </si>
  <si>
    <t>Row 83</t>
  </si>
  <si>
    <t>Row 84</t>
  </si>
  <si>
    <t>Row 85</t>
  </si>
  <si>
    <t>Row 86</t>
  </si>
  <si>
    <t>Row 87</t>
  </si>
  <si>
    <t>Row 88</t>
  </si>
  <si>
    <t>Row 89</t>
  </si>
  <si>
    <t>Row 90</t>
  </si>
  <si>
    <t>Row 91</t>
  </si>
  <si>
    <t>Row 92</t>
  </si>
  <si>
    <t>Row 93</t>
  </si>
  <si>
    <t>Row 94</t>
  </si>
  <si>
    <t>Row 95</t>
  </si>
  <si>
    <t>Row 96</t>
  </si>
  <si>
    <t>Row 97</t>
  </si>
  <si>
    <t>Row 98</t>
  </si>
  <si>
    <t>Row 99</t>
  </si>
  <si>
    <t>Row 100</t>
  </si>
  <si>
    <t>Row 101</t>
  </si>
  <si>
    <t>Row 102</t>
  </si>
  <si>
    <t>Row 103</t>
  </si>
  <si>
    <t>Row 104</t>
  </si>
  <si>
    <t>Row 105</t>
  </si>
  <si>
    <t>Row 106</t>
  </si>
  <si>
    <t>Row 107</t>
  </si>
  <si>
    <t>Row 108</t>
  </si>
  <si>
    <t>Row 109</t>
  </si>
  <si>
    <t>Row 110</t>
  </si>
  <si>
    <t>Row 111</t>
  </si>
  <si>
    <t>Row 112</t>
  </si>
  <si>
    <t>Row 113</t>
  </si>
  <si>
    <t>Row 114</t>
  </si>
  <si>
    <t>Row 115</t>
  </si>
  <si>
    <t>Row 116</t>
  </si>
  <si>
    <t>Row 117</t>
  </si>
  <si>
    <t>Row 118</t>
  </si>
  <si>
    <t>Row 119</t>
  </si>
  <si>
    <t>Row 120</t>
  </si>
  <si>
    <t>Row 121</t>
  </si>
  <si>
    <t>Row 122</t>
  </si>
  <si>
    <t>Row 123</t>
  </si>
  <si>
    <t>Row 124</t>
  </si>
  <si>
    <t>Row 125</t>
  </si>
  <si>
    <t>Row 126</t>
  </si>
  <si>
    <t>Row 127</t>
  </si>
  <si>
    <t>Row 128</t>
  </si>
  <si>
    <t>Row 129</t>
  </si>
  <si>
    <t>Row 130</t>
  </si>
  <si>
    <t>Row 131</t>
  </si>
  <si>
    <t>Row 132</t>
  </si>
  <si>
    <t>Row 133</t>
  </si>
  <si>
    <t>Row 134</t>
  </si>
  <si>
    <t>Row 135</t>
  </si>
  <si>
    <t>Row 136</t>
  </si>
  <si>
    <t>Row 137</t>
  </si>
  <si>
    <t>Row 138</t>
  </si>
  <si>
    <t>Row 139</t>
  </si>
  <si>
    <t>Row 140</t>
  </si>
  <si>
    <t>Row 141</t>
  </si>
  <si>
    <t>Row 142</t>
  </si>
  <si>
    <t>Row 143</t>
  </si>
  <si>
    <t>Row 144</t>
  </si>
  <si>
    <t>Row 145</t>
  </si>
  <si>
    <t>Row 146</t>
  </si>
  <si>
    <t>Row 147</t>
  </si>
  <si>
    <t>Row 148</t>
  </si>
  <si>
    <t>Row 149</t>
  </si>
  <si>
    <t>Row 150</t>
  </si>
  <si>
    <t>Row 151</t>
  </si>
  <si>
    <t>COUNTY Present</t>
  </si>
  <si>
    <t>CBO Name</t>
  </si>
  <si>
    <t>CBO FEIN</t>
  </si>
  <si>
    <t>CBO FDOC Document Number</t>
  </si>
  <si>
    <t>CBO Principal Address</t>
  </si>
  <si>
    <t>CBO Mailing Address</t>
  </si>
  <si>
    <t>Contract Identification Number</t>
  </si>
  <si>
    <t>Contract Execution Date</t>
  </si>
  <si>
    <t>Description of Enrollee Population(s) Being Served</t>
  </si>
  <si>
    <t>Description of Services and Supports</t>
  </si>
  <si>
    <t>Directly Improves Birth Outcomes</t>
  </si>
  <si>
    <t>Directly Improves Mental Health of Children or Adolescents</t>
  </si>
  <si>
    <t>Directly Increases Home and Community Based Services for Seniors</t>
  </si>
  <si>
    <t>Regions</t>
  </si>
  <si>
    <t>Number of Regions</t>
  </si>
  <si>
    <t>Counties</t>
  </si>
  <si>
    <t>Number of Counties</t>
  </si>
  <si>
    <t>Closed Loop Referral and Verification</t>
  </si>
  <si>
    <t>Financial Investment</t>
  </si>
  <si>
    <t>In-Kind Investment</t>
  </si>
  <si>
    <t>CBO Representative(s) in Respondent Committee(s) or Advisory Board(s)</t>
  </si>
  <si>
    <t>Total Cbo</t>
  </si>
  <si>
    <t>Services1</t>
  </si>
  <si>
    <t>FinInvest</t>
  </si>
  <si>
    <t>In-Kind</t>
  </si>
  <si>
    <t>CBO Rep</t>
  </si>
  <si>
    <t>Loop Ref</t>
  </si>
  <si>
    <t>A</t>
  </si>
  <si>
    <t>Alachua</t>
  </si>
  <si>
    <t>B</t>
  </si>
  <si>
    <t>Baker</t>
  </si>
  <si>
    <t>C</t>
  </si>
  <si>
    <t>Bay</t>
  </si>
  <si>
    <t>D</t>
  </si>
  <si>
    <t>Bradford</t>
  </si>
  <si>
    <t>E</t>
  </si>
  <si>
    <t>Brevard</t>
  </si>
  <si>
    <t>F</t>
  </si>
  <si>
    <t>Broward</t>
  </si>
  <si>
    <t>G</t>
  </si>
  <si>
    <t>Calhoun</t>
  </si>
  <si>
    <t>H</t>
  </si>
  <si>
    <t>Charlotte</t>
  </si>
  <si>
    <t>I</t>
  </si>
  <si>
    <t>Citrus</t>
  </si>
  <si>
    <t>Clay</t>
  </si>
  <si>
    <t>Collier</t>
  </si>
  <si>
    <t>Columbia</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</si>
  <si>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</si>
  <si>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</si>
  <si>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</si>
  <si>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</si>
  <si>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</si>
  <si>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</si>
  <si>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</si>
  <si>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</si>
  <si>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</si>
  <si>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</si>
  <si>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</si>
  <si>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</si>
  <si>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</si>
  <si>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</si>
  <si>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</si>
  <si>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</si>
  <si>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</si>
  <si>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</si>
  <si>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</si>
  <si>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</si>
  <si>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</si>
  <si>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</si>
  <si>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</si>
  <si>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</si>
  <si>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</si>
  <si>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</si>
  <si>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</si>
  <si>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</si>
  <si>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</si>
  <si>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</si>
  <si>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</si>
  <si>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</si>
  <si>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</si>
  <si>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</si>
  <si>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</si>
  <si>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</si>
  <si>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</si>
  <si>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</si>
  <si>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</si>
  <si>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</si>
  <si>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</si>
  <si>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</si>
  <si>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St. Johns</t>
  </si>
  <si>
    <t>St. Lucie</t>
  </si>
  <si>
    <t>Santa Rosa</t>
  </si>
  <si>
    <t>Sarasota</t>
  </si>
  <si>
    <t>Seminole</t>
  </si>
  <si>
    <t>Sumter</t>
  </si>
  <si>
    <t>Suwannee</t>
  </si>
  <si>
    <t>Taylor</t>
  </si>
  <si>
    <t>Union</t>
  </si>
  <si>
    <t>Volusia</t>
  </si>
  <si>
    <t>Wakulla</t>
  </si>
  <si>
    <t>Walton</t>
  </si>
  <si>
    <t>Washington</t>
  </si>
  <si>
    <t>Total Counties:</t>
  </si>
  <si>
    <t>% Counties:</t>
  </si>
  <si>
    <t>Region</t>
  </si>
  <si>
    <t>Region Present</t>
  </si>
  <si>
    <t>Total Regions</t>
  </si>
  <si>
    <t>Number of unique, contracted CBOs with principal address in Florida for the upcoming contract period. A CBO with more than one contract with the Respondent for community-based services and supports shall be considered one CBO.</t>
  </si>
  <si>
    <t>20 points for 20 or more CBOs</t>
  </si>
  <si>
    <t>10 points for 10-19 CBOs</t>
  </si>
  <si>
    <t>5 points for 5-9 CBOs</t>
  </si>
  <si>
    <t>1 point for 1-4 CBOs</t>
  </si>
  <si>
    <t>0 points for 0 CBOs</t>
  </si>
  <si>
    <t>For up to 20 unique, contracted CBOs identified by the Respondent for SRC examination in Column H of Exhibit XX, the following scoring will be used:</t>
  </si>
  <si>
    <t>1 point for each CBO that provides services or supports in at least one of the following areas: improving birth outcomes, improving mental health of children or adolescents, or increasing home and community based services and supports. Maximum of 20 points.</t>
  </si>
  <si>
    <t>1 point for each AHCA region where at least one CBO provides services or supports. Maximum of 8 points.</t>
  </si>
  <si>
    <t>Percentage of Florida counties with at least one CBO providing services and supports to enrollees.</t>
  </si>
  <si>
    <t>20 points for 100% of Florida counties</t>
  </si>
  <si>
    <t>10 points for 50-99.99% of Florida counties</t>
  </si>
  <si>
    <t>5 points for 25-49.99% of Florida counties</t>
  </si>
  <si>
    <t>1 point for 1-24.99% of Florida counties</t>
  </si>
  <si>
    <t>0 points for less than 1% of Florida counties</t>
  </si>
  <si>
    <t>1 point for each CBO that uses a closed-loop software system to receive enrollee referrals from health care providers and verify with the Respondent that services or supports were provided to enrollees. Maximum of 20 points.</t>
  </si>
  <si>
    <t>20 points maximum.</t>
  </si>
  <si>
    <t>1 point for each CBO that receives a financial investment from the Respondent. Maximum of 20 points.</t>
  </si>
  <si>
    <t xml:space="preserve">1 point for each CBO that receives in-kind support from the Respondent. Maximum of 20 points. </t>
  </si>
  <si>
    <t>1 point for each CBO that has a representative who serves on a Respondent committee or advisory board. Maximum of 20 points.</t>
  </si>
  <si>
    <t>Total Points Earned</t>
  </si>
  <si>
    <t>SRC #27: Expanded Benefits - Pathways to</t>
  </si>
  <si>
    <t>Prosperity Scoring Information</t>
  </si>
  <si>
    <t>SRC #27: Expanded Benefits - Pathways to Prosperity</t>
  </si>
  <si>
    <t>Expanded Benefits - Pathways to Prosperity SRC Final Score:</t>
  </si>
  <si>
    <t>Housing Assistance</t>
  </si>
  <si>
    <t>Food Assistance</t>
  </si>
  <si>
    <t>Non-Medical Transportation</t>
  </si>
  <si>
    <t>Tutoring, Vocational Training, and/or Job Readiness</t>
  </si>
  <si>
    <t>SRC #31: Managed Care Experience Instructions</t>
  </si>
  <si>
    <t>SRC #31: Managed Care Experience</t>
  </si>
  <si>
    <t>Managed Care Experience SRC Final Score:</t>
  </si>
  <si>
    <t>Contract End Date</t>
  </si>
  <si>
    <t>Statewide or Not Statewide</t>
  </si>
  <si>
    <t>HCBS Included</t>
  </si>
  <si>
    <t>Total Unduplicated Population Under Contract</t>
  </si>
  <si>
    <t>LOB</t>
  </si>
  <si>
    <t>Length of Contract</t>
  </si>
  <si>
    <t>HCBS</t>
  </si>
  <si>
    <t>Total Population</t>
  </si>
  <si>
    <t xml:space="preserve">Less than 1 Year </t>
  </si>
  <si>
    <t>1-2 Years</t>
  </si>
  <si>
    <t>3-5 Years</t>
  </si>
  <si>
    <t>5+ Years</t>
  </si>
  <si>
    <t>State Coverage</t>
  </si>
  <si>
    <t>HCBS Services</t>
  </si>
  <si>
    <t>Raw Points Earned:</t>
  </si>
  <si>
    <t>SRC #32: Compliance History Scoring Information</t>
  </si>
  <si>
    <t>SRC #32: Compliance History - Part 1</t>
  </si>
  <si>
    <t>Go to Scoring Table</t>
  </si>
  <si>
    <t>Total Points Possible Part 1:</t>
  </si>
  <si>
    <t>Points Earned Part 1:</t>
  </si>
  <si>
    <t>Liquidated Damages</t>
  </si>
  <si>
    <t>#</t>
  </si>
  <si>
    <t>Administrative or Access Issue</t>
  </si>
  <si>
    <t>Adminstrative or Covered Service Type</t>
  </si>
  <si>
    <t>Date Imposed</t>
  </si>
  <si>
    <t>Imposed Amount</t>
  </si>
  <si>
    <t>Annual Revenue:</t>
  </si>
  <si>
    <t>Percent of Total Revenue:</t>
  </si>
  <si>
    <t>Sanctions</t>
  </si>
  <si>
    <t>CAPS</t>
  </si>
  <si>
    <t>Points Earned: Year 1</t>
  </si>
  <si>
    <t>Points Earned: Year 2</t>
  </si>
  <si>
    <t>Points Earned: Year 3</t>
  </si>
  <si>
    <t>Total Liquidated Damages/ Contract Revenue</t>
  </si>
  <si>
    <t>State 1 Year 1</t>
  </si>
  <si>
    <t>State 1 Year 2</t>
  </si>
  <si>
    <t>State 1 Year 3</t>
  </si>
  <si>
    <t>State 2 Year 1</t>
  </si>
  <si>
    <t>State 2 Year 2</t>
  </si>
  <si>
    <t>State 2 Year 3</t>
  </si>
  <si>
    <t>State 3 Year 1</t>
  </si>
  <si>
    <t>State 3 Year 2</t>
  </si>
  <si>
    <t>State 3 Year 3</t>
  </si>
  <si>
    <t>Administrative Issue</t>
  </si>
  <si>
    <t>Access Issue</t>
  </si>
  <si>
    <t>Fraud and Abuse</t>
  </si>
  <si>
    <t>Coverage and Authorization of Services</t>
  </si>
  <si>
    <t>IT/Systems Issue</t>
  </si>
  <si>
    <t>Care Coordination and/or Case Management</t>
  </si>
  <si>
    <t>Untimely Reporting</t>
  </si>
  <si>
    <t>Admissions and Discharge Issues</t>
  </si>
  <si>
    <t>Inaccurate Reporting</t>
  </si>
  <si>
    <t>Claims Payment</t>
  </si>
  <si>
    <t>Subcontractor Related</t>
  </si>
  <si>
    <t>Networks</t>
  </si>
  <si>
    <t>CAPs</t>
  </si>
  <si>
    <t>SRC #32 (Continued): Compliance History - Part 2 (Terminations)</t>
  </si>
  <si>
    <t xml:space="preserve">Total Points Possible Part 2: </t>
  </si>
  <si>
    <t>Points Earned Part 2:</t>
  </si>
  <si>
    <t>Total Compliance Points (Part 1 &amp; Part 2):</t>
  </si>
  <si>
    <t>Compliance History SRC Final Score:</t>
  </si>
  <si>
    <t>Contract Name</t>
  </si>
  <si>
    <t>Contract Type</t>
  </si>
  <si>
    <t>Termination Type</t>
  </si>
  <si>
    <t>Date of Action</t>
  </si>
  <si>
    <t>Client/Other Party Name</t>
  </si>
  <si>
    <t>Client/Other Party Address</t>
  </si>
  <si>
    <t>Client/Other Party Phone Number</t>
  </si>
  <si>
    <t>Reason for Termination</t>
  </si>
  <si>
    <t>Respondent Affiliates</t>
  </si>
  <si>
    <t>Respondent Subsidiaries</t>
  </si>
  <si>
    <t>Parent Organization</t>
  </si>
  <si>
    <t>Parent Organization's Affiliates</t>
  </si>
  <si>
    <t>Parent Organization's Subsidiaries</t>
  </si>
  <si>
    <t>Number of Terminations</t>
  </si>
  <si>
    <t>Partial Termination</t>
  </si>
  <si>
    <t>Full Termination</t>
  </si>
  <si>
    <t>Withdrawn</t>
  </si>
  <si>
    <t>Enrollment Reduction Request</t>
  </si>
  <si>
    <t>SRC #33: Florida Presence Scoring Information</t>
  </si>
  <si>
    <t>SRC #33: Florida Presence</t>
  </si>
  <si>
    <t>Florida Presence SRC Final Score:</t>
  </si>
  <si>
    <t>Function</t>
  </si>
  <si>
    <t>Presence in Florida</t>
  </si>
  <si>
    <t>Corporate Headquarters</t>
  </si>
  <si>
    <t>Claims Processing</t>
  </si>
  <si>
    <t>Member Services</t>
  </si>
  <si>
    <t>Provider Services</t>
  </si>
  <si>
    <t>Utilization Management</t>
  </si>
  <si>
    <t>Prior Authorization</t>
  </si>
  <si>
    <t>Case Management</t>
  </si>
  <si>
    <t>Disease Management</t>
  </si>
  <si>
    <t>SRC #34: Managed Care Plan Accreditation Scoring Information</t>
  </si>
  <si>
    <t>SRC #34: Managed Care Plan Accreditation</t>
  </si>
  <si>
    <t>Managed Care Plan Accreditation SRC Final Score:</t>
  </si>
  <si>
    <t>Health Plan Accreditation</t>
  </si>
  <si>
    <t>Name of Accrediting Body</t>
  </si>
  <si>
    <t>Type of Accreditation</t>
  </si>
  <si>
    <t>Level of Accreditation</t>
  </si>
  <si>
    <t>Status of Accreditation</t>
  </si>
  <si>
    <t>Date of Certification</t>
  </si>
  <si>
    <t>Effective Date of Accreditation</t>
  </si>
  <si>
    <t>NCQA</t>
  </si>
  <si>
    <t>URAC</t>
  </si>
  <si>
    <t>Full accreditation</t>
  </si>
  <si>
    <t>Partial/conditional accreditation</t>
  </si>
  <si>
    <t>No accreditation/denied accreditation</t>
  </si>
  <si>
    <t>AAAHC</t>
  </si>
  <si>
    <t>full three (3) year accreditation for the National Committee for Quality Assurance (NCQA)</t>
  </si>
  <si>
    <t>provisional for NCQA</t>
  </si>
  <si>
    <t>None</t>
  </si>
  <si>
    <t>full three (3) year accreditation for Utilization Review Accreditation Commission (URAC)</t>
  </si>
  <si>
    <t>conditional or provisional for URAC</t>
  </si>
  <si>
    <t>Additive Accreditations</t>
  </si>
  <si>
    <t>full three (3) year accreditation for Accreditation Association for Ambulatory Health Care, Inc. (AAAHC)</t>
  </si>
  <si>
    <t>one (1) year for AAAHC</t>
  </si>
  <si>
    <t>Accrediting Body</t>
  </si>
  <si>
    <t>six (6) months for AAAHC</t>
  </si>
  <si>
    <t>Medicaid with Long-Term Services and Supports</t>
  </si>
  <si>
    <t>Fully Accredited</t>
  </si>
  <si>
    <t>Provisional</t>
  </si>
  <si>
    <t>Electronic Clinical Quality Measures (eCQM) Certification</t>
  </si>
  <si>
    <t>Integrated Behavioral Health Designation</t>
  </si>
  <si>
    <t>Conditional</t>
  </si>
  <si>
    <t>Long-Term Supports and Services Distinction</t>
  </si>
  <si>
    <t>Declined</t>
  </si>
  <si>
    <t>Population Health Program Accreditation</t>
  </si>
  <si>
    <t>Opioid Stewardship Designation</t>
  </si>
  <si>
    <t>5 points for full health plan accreditation.</t>
  </si>
  <si>
    <t>3 points for partial/conditional health plan accreditation.</t>
  </si>
  <si>
    <t>1 point for each additive accreditation.</t>
  </si>
  <si>
    <t>0 points if health plan accreditation denied or no accreditation.</t>
  </si>
  <si>
    <t>SRC #35: Grievances Scoring Information</t>
  </si>
  <si>
    <t>SRC #35: Grievances</t>
  </si>
  <si>
    <t>Grievances SRC Final Score:</t>
  </si>
  <si>
    <t>Total Number of Enrollees</t>
  </si>
  <si>
    <t>Grievances</t>
  </si>
  <si>
    <t>Total # of Grievances Received</t>
  </si>
  <si>
    <t>Total # of Grievances Resolved within 90 days</t>
  </si>
  <si>
    <t>Total # of Grievances Not Resolved within 90 days</t>
  </si>
  <si>
    <t>Percentage of Grievance Not Resolved w/in 90 days</t>
  </si>
  <si>
    <t>Percentage of Grievances to Population</t>
  </si>
  <si>
    <t>Total # of Staff Dedicated to Grievance Processing</t>
  </si>
  <si>
    <t>Ratio of Staff Dedicated to Population</t>
  </si>
  <si>
    <t>Standard Appeals</t>
  </si>
  <si>
    <t>Total # of Standard Appeals Received</t>
  </si>
  <si>
    <t>Total # of Standard Appeals Resolved within 30 days</t>
  </si>
  <si>
    <t>Total # of Standard Appeals Not Resolved within 30 days</t>
  </si>
  <si>
    <t>Percentage of Standard Appeals Not Resolved within 30 days</t>
  </si>
  <si>
    <t>Percentage of Standard Appeals to Population</t>
  </si>
  <si>
    <t>Total # of Staff Dedicated to Standard Appeal Processing</t>
  </si>
  <si>
    <t>Medicaid Fair Hearings</t>
  </si>
  <si>
    <t>Total # of Medicaid Fair Hearings Received</t>
  </si>
  <si>
    <t>Total # Hearings Upheld</t>
  </si>
  <si>
    <t>Percentage of Upheld to # of Fair Hearings Received</t>
  </si>
  <si>
    <t>Total # Hearings Overturned</t>
  </si>
  <si>
    <t>Percentage of Overturned to # of Fair Hearings Received</t>
  </si>
  <si>
    <t>Score #1 - Percent of Grievances Not Resolved Within 90 Days</t>
  </si>
  <si>
    <t>0%-5.99%</t>
  </si>
  <si>
    <t>6%-10.99%</t>
  </si>
  <si>
    <t>11%-25.99%</t>
  </si>
  <si>
    <t>26% or higher</t>
  </si>
  <si>
    <t>Score #2 - Percent of Grievances Per Total Population</t>
  </si>
  <si>
    <t>Score #3 - Percent of Appeals Not Resolved Within 30 Days</t>
  </si>
  <si>
    <t>Score #4 - Percent of Appeals Per Total Population</t>
  </si>
  <si>
    <t>Score #5 - Percent of Medicaid Fair Hearings Overturned</t>
  </si>
  <si>
    <t>SRC #36: Claims Processing and Payment</t>
  </si>
  <si>
    <t>Scoring Information (continued)</t>
  </si>
  <si>
    <t>Claims Processing and Payment SRC Final Score:</t>
  </si>
  <si>
    <t>Timeliness</t>
  </si>
  <si>
    <t>Electronically Submitted Claims</t>
  </si>
  <si>
    <t>Total Number of Electronic Claims</t>
  </si>
  <si>
    <t>Total Number Paid or Denied within 7 Calendar Days</t>
  </si>
  <si>
    <t>Percent Paid or Denied within 7 Calendar Days</t>
  </si>
  <si>
    <t>Electronic Nursing Facility &amp; Hospice Claims</t>
  </si>
  <si>
    <t>Total Number of Nursing Facility Claims</t>
  </si>
  <si>
    <t>Total Number of Nursing Facilty Claims Paid/Denied within 10 Calendar Days</t>
  </si>
  <si>
    <t>Percent Nursing Facilty Claims Paid/Denied within 10 Calendar Days</t>
  </si>
  <si>
    <t>Total Number of Hospice Claims</t>
  </si>
  <si>
    <t>Total Number of Hospice Claims Paid/Denied within 10 Calendar Days</t>
  </si>
  <si>
    <t>Percent Hospice Claims Paid/Denied within 10 Calendar Days</t>
  </si>
  <si>
    <t>Other Electronic Claims</t>
  </si>
  <si>
    <t>Total Number of Hospital Claims</t>
  </si>
  <si>
    <t>Total Number of Hospital Claims Paid/Denied within 15 Calendar Days</t>
  </si>
  <si>
    <t>Percent Hospital Claims Paid/Denied within 15 Calendar Days</t>
  </si>
  <si>
    <t>Total Number of Durable Medical Equipment (DME) Claims</t>
  </si>
  <si>
    <t>Total Number of DME Claims Paid/Denied within 15 Calendar Days</t>
  </si>
  <si>
    <t>Percent DME Claims Paid/Denied within 15 Calendar Days</t>
  </si>
  <si>
    <t>Total Number of County Health Department (CHD) Claims</t>
  </si>
  <si>
    <t>Total Number of CHD Claims Paid/Denied within 15 Calendar Days</t>
  </si>
  <si>
    <t>Percent CHD Claims Paid/Denied within 15 Calendar Days</t>
  </si>
  <si>
    <t>Total Number of Claims for All Other Providers</t>
  </si>
  <si>
    <t>Total Number of All Other Claims Paid/Denied within 15 Calendar Days</t>
  </si>
  <si>
    <t>Percent All Other Providers Claims</t>
  </si>
  <si>
    <t>Non-Electronically Submitted Claims</t>
  </si>
  <si>
    <t>Total Number of Non-Electronically Submitted Claims</t>
  </si>
  <si>
    <t>Total Non-Electronically Submitted Claims Paid/Denied within 10 Calendar Days</t>
  </si>
  <si>
    <t>Percent of Claims Paid/Denied within 10 Calendar Days</t>
  </si>
  <si>
    <t>Total Non-Electronically Submitted Claims Paid/Denied within 15 Calendar Days</t>
  </si>
  <si>
    <t>Percent of Claims Paid/Denied within 15 Calendar Days</t>
  </si>
  <si>
    <t>Total Non-Electronically Submitted Claims Paid/Denied within 20 Calendar Days</t>
  </si>
  <si>
    <t>Percent of Claims Paid/Denied within 20 Calendar Days</t>
  </si>
  <si>
    <t>Accuracy</t>
  </si>
  <si>
    <t>Number of Electronically-Submitted Claims Processed</t>
  </si>
  <si>
    <t>Total Electronically Submitted Claims Accurately Processed</t>
  </si>
  <si>
    <t>Percent of Elecontrically Submitted Claims Accurately Processed</t>
  </si>
  <si>
    <t>Number of Non-Electronically-Submitted Claims Processed</t>
  </si>
  <si>
    <t>Total Non-Electronically Submitted Claims Accurately Processed</t>
  </si>
  <si>
    <t>Percent of Non-Elecontrically Submitted Claims Accurately Processed</t>
  </si>
  <si>
    <t>Claim Appeals/Grievances</t>
  </si>
  <si>
    <t>Number of Appeals/Grievances Filed Regarding Claim Disputes</t>
  </si>
  <si>
    <t>Total Number of Claim Disputes Overturned without the Need for Medical Review</t>
  </si>
  <si>
    <t>Percent Overturned</t>
  </si>
  <si>
    <t>Electronic Submissions: Timeliness</t>
  </si>
  <si>
    <t>Total % Paid or Denied within 7 Calendar Days</t>
  </si>
  <si>
    <t>Percent Nursing Facilty Paid within 10 days</t>
  </si>
  <si>
    <t>Percent Hospice Paid within 10 days</t>
  </si>
  <si>
    <t>Percent Hospital Paid within 15 days</t>
  </si>
  <si>
    <t>Percent DME Paid within 15 days</t>
  </si>
  <si>
    <t>Percent County Health Department Paid within 15 days</t>
  </si>
  <si>
    <t>Percent All Other Providers Paid within 15 days</t>
  </si>
  <si>
    <t>Non-Electronic Submissions: Timeliness</t>
  </si>
  <si>
    <t>Total % Paid/Denied within 10 Days</t>
  </si>
  <si>
    <t>Total % Paid/Denied within 15 days</t>
  </si>
  <si>
    <t>Total % Paid/Denied within 20 days</t>
  </si>
  <si>
    <t>Electronically Submitted Claims: Accuracy</t>
  </si>
  <si>
    <t>Total % Accurate</t>
  </si>
  <si>
    <t>Non-Electronically Submitted Claims: Accuracy</t>
  </si>
  <si>
    <t>Claims Appeals/Grievances</t>
  </si>
  <si>
    <t>Total % Overturned</t>
  </si>
  <si>
    <t>SRC #37: Provider Engagement Model Scoring Information</t>
  </si>
  <si>
    <t>SRC #37: Provider Engagement Model</t>
  </si>
  <si>
    <t>Provider Engagement Model SRC Final Score:</t>
  </si>
  <si>
    <t>At Least Daily</t>
  </si>
  <si>
    <t>At Least Weekly</t>
  </si>
  <si>
    <t>At Least Monthly</t>
  </si>
  <si>
    <t>Responsiveness to Provider-Initiated Interactions</t>
  </si>
  <si>
    <t>Less than Monthly</t>
  </si>
  <si>
    <t>Average Response time to provider-initiated interactions (in hours)</t>
  </si>
  <si>
    <t>Frequency of Reviews of Provider Complaint Reasons to Identify Training Needs</t>
  </si>
  <si>
    <t>Regularly</t>
  </si>
  <si>
    <t>Frequency of Claim Denial Code Reviews to Identify Training Needs</t>
  </si>
  <si>
    <t>Irregularly</t>
  </si>
  <si>
    <t>Engagement with Provider Associations</t>
  </si>
  <si>
    <t>Not at All</t>
  </si>
  <si>
    <t>Regularity of Meetings with Provider Associations</t>
  </si>
  <si>
    <t>Number of Meetings with Provider Associations During Review Period</t>
  </si>
  <si>
    <t>Frequency of Provider Association Meetings</t>
  </si>
  <si>
    <t>Freq of Association Meetin</t>
  </si>
  <si>
    <t xml:space="preserve">Coverage of Provider Training Topics </t>
  </si>
  <si>
    <t xml:space="preserve">Met with 5 or more Provider Associations </t>
  </si>
  <si>
    <t>Service Coverage Guidelines</t>
  </si>
  <si>
    <t>Met with 1-4 Provider Associations</t>
  </si>
  <si>
    <t>Service Authorization Requirements</t>
  </si>
  <si>
    <t>Did not Meet with Provider Associations</t>
  </si>
  <si>
    <t>Billing Procedures</t>
  </si>
  <si>
    <t>Payment Timeframes</t>
  </si>
  <si>
    <t>At Least Quarterly</t>
  </si>
  <si>
    <t>Dispute Resolution Process and Timeframes</t>
  </si>
  <si>
    <t>Less than Quarterly</t>
  </si>
  <si>
    <t>Agency Contract Requirements</t>
  </si>
  <si>
    <t>Other Topic 1: [REPORT TOPIC NAME HERE]</t>
  </si>
  <si>
    <t>Other Topic 2: [REPORT TOPIC NAME HERE]</t>
  </si>
  <si>
    <t>Other Topic 3: [REPORT TOPIC NAME HERE]</t>
  </si>
  <si>
    <t>Other Topic 4: [REPORT TOPIC NAME HERE]</t>
  </si>
  <si>
    <t>Other Topic 5: [REPORT TOPIC NAME HERE]</t>
  </si>
  <si>
    <t>Other Topic 6: [REPORT TOPIC NAME HERE]</t>
  </si>
  <si>
    <t>Other Topic 7: [REPORT TOPIC NAME HERE]</t>
  </si>
  <si>
    <t>Other Topic 8: [REPORT TOPIC NAME HERE]</t>
  </si>
  <si>
    <t>Other Topic 9: [REPORT TOPIC NAME HERE]</t>
  </si>
  <si>
    <t>Other Topic 10: [REPORT TOPIC NAME HERE]</t>
  </si>
  <si>
    <t>Training</t>
  </si>
  <si>
    <t xml:space="preserve">Method of Presentation </t>
  </si>
  <si>
    <t>Frequency of Training (Unscored)</t>
  </si>
  <si>
    <t>At least 75% Training Provided Live or In-Person</t>
  </si>
  <si>
    <t>50-74.99% of Training Provided Live or In-Person</t>
  </si>
  <si>
    <t>Less than 50% of Training Provided Live or In-Person</t>
  </si>
  <si>
    <t>Points Earned-Year 1</t>
  </si>
  <si>
    <t>Points Earned-Year 2</t>
  </si>
  <si>
    <t>Points Earned-Year 3</t>
  </si>
  <si>
    <t>Frequency of Reviews of Provider Complaint Reasons</t>
  </si>
  <si>
    <t>contract 1</t>
  </si>
  <si>
    <t>Coverage of Provider Training Topics</t>
  </si>
  <si>
    <t>Training Method of Presentation</t>
  </si>
  <si>
    <t xml:space="preserve">SRC #38: Non-Emergency Transportation Performance </t>
  </si>
  <si>
    <t>SRC #38: Non-Emergency Transportation Performance</t>
  </si>
  <si>
    <t>Possible and Earned</t>
  </si>
  <si>
    <t>Non-Emergency Transportation Performance SRC Final Score:</t>
  </si>
  <si>
    <t>Number</t>
  </si>
  <si>
    <t xml:space="preserve">Total Number of Scheduled Trips By Level of Assistance </t>
  </si>
  <si>
    <t>Unassisted Trips</t>
  </si>
  <si>
    <t>Assisted Trips</t>
  </si>
  <si>
    <t>Unscheduled Trips by Level of Assistance</t>
  </si>
  <si>
    <t>Missed Trips</t>
  </si>
  <si>
    <t>Number Missed Due to Fault of the Enrollee</t>
  </si>
  <si>
    <t xml:space="preserve">SRC #39: Consumer Assessment of Healthcare Providers and Systems </t>
  </si>
  <si>
    <t>Results Scoring Information</t>
  </si>
  <si>
    <t>Results Scoring Information (continued)</t>
  </si>
  <si>
    <t>HCBS CAHPS Items</t>
  </si>
  <si>
    <t>2022 Florida Medicaid Mean</t>
  </si>
  <si>
    <t>Rating of Case Manager (percent rating 9 or 10/Excellent)</t>
  </si>
  <si>
    <t>Rating of Homemaker (percent rating 9 or 10/Excellent)</t>
  </si>
  <si>
    <t>Choosing the Services that Matter to You (composite)(percent reporting All/Yes)</t>
  </si>
  <si>
    <t>SRC #39: Consumer Assessment of Healthcare Providers and Systems Results</t>
  </si>
  <si>
    <t>Adult/Child Health Plan CAHPS</t>
  </si>
  <si>
    <t>Adult</t>
  </si>
  <si>
    <t>Child</t>
  </si>
  <si>
    <t>Health Plan CAHPS Survey Results</t>
  </si>
  <si>
    <t>National Mean-Adult</t>
  </si>
  <si>
    <t>National Mean-Child</t>
  </si>
  <si>
    <t>% with Health Plan Rating "9" or "10"</t>
  </si>
  <si>
    <t>% with Health Care Rating "9" or "10"</t>
  </si>
  <si>
    <t>% Reporting Getting Needed Care "Usually" or "Always"</t>
  </si>
  <si>
    <t>% Reporting Getting Care Quickly "Usually" or "Always"</t>
  </si>
  <si>
    <t>TANF</t>
  </si>
  <si>
    <t>% Reporting Health Plan Information &amp; Customer Service "Usually" or "Always"</t>
  </si>
  <si>
    <t>ABD</t>
  </si>
  <si>
    <t>Dual Eligible</t>
  </si>
  <si>
    <t>Medicaid Expansion</t>
  </si>
  <si>
    <t>FL Mean</t>
  </si>
  <si>
    <t>% Rating Case Manager "9" or "10"</t>
  </si>
  <si>
    <t>Commercial</t>
  </si>
  <si>
    <t>% Rating Homemaker "9" or "10"</t>
  </si>
  <si>
    <t>% Reporting "All" for Choosing the Services that Matter to You</t>
  </si>
  <si>
    <t>Points Earned-Adult</t>
  </si>
  <si>
    <t>Points Earned-Child</t>
  </si>
  <si>
    <t>Health Plan CAHPS Survey</t>
  </si>
  <si>
    <t>Health Plan Rating</t>
  </si>
  <si>
    <t>Health Care Rating</t>
  </si>
  <si>
    <t>Getting Needed Care</t>
  </si>
  <si>
    <t>Getting Needed Care Quickly</t>
  </si>
  <si>
    <t>Information and Customer Service</t>
  </si>
  <si>
    <t>HCBS CAHPS Survey</t>
  </si>
  <si>
    <t>Case Manager</t>
  </si>
  <si>
    <t>Personal Assistant/Behavioral Health Staff</t>
  </si>
  <si>
    <t>Service Plan Inclusion</t>
  </si>
  <si>
    <t xml:space="preserve">Total State Points Earned: </t>
  </si>
  <si>
    <t>Total Weighted State Points Earned:</t>
  </si>
  <si>
    <t xml:space="preserve">Points Earned Weighted by Line of Business: </t>
  </si>
  <si>
    <t>Percent of Total Possible Points Earned:</t>
  </si>
  <si>
    <t>Weighted Total Points:</t>
  </si>
  <si>
    <t>SRC #41: Management Experience and Retention</t>
  </si>
  <si>
    <t>Management Experience and Retention SRC Final Score:</t>
  </si>
  <si>
    <t xml:space="preserve">Contract: </t>
  </si>
  <si>
    <t>TANF Adult</t>
  </si>
  <si>
    <t>Management Experience</t>
  </si>
  <si>
    <t>Disabled Child</t>
  </si>
  <si>
    <t>Name</t>
  </si>
  <si>
    <t>Position</t>
  </si>
  <si>
    <t>Responsibilities</t>
  </si>
  <si>
    <t>Years of experience at senior manager level or above at managed care organizations</t>
  </si>
  <si>
    <t>Years of Employment with Respondent</t>
  </si>
  <si>
    <t>Total years of experience serving elderly and persons with disabilities</t>
  </si>
  <si>
    <t>Disabled Adult</t>
  </si>
  <si>
    <t>LTSS Child</t>
  </si>
  <si>
    <t>LTSS Adult</t>
  </si>
  <si>
    <t>Average Experience:</t>
  </si>
  <si>
    <t>Contract</t>
  </si>
  <si>
    <t>DELEGATED FUNCTION (FOR REF)</t>
  </si>
  <si>
    <t>Function Options &gt;</t>
  </si>
  <si>
    <t>Coverage of Services</t>
  </si>
  <si>
    <t>Grievance and Appeal System</t>
  </si>
  <si>
    <t>Administration and Management Services</t>
  </si>
  <si>
    <t>&lt; table called "Function", used as a var elsewhere</t>
  </si>
  <si>
    <t>Care Coordination/Case Management</t>
  </si>
  <si>
    <t>Notice of Adverse Benefit Determination Insurance &amp; Completion</t>
  </si>
  <si>
    <t>Network Management</t>
  </si>
  <si>
    <t>Performance Measures</t>
  </si>
  <si>
    <t>Electronic Visit Verification</t>
  </si>
  <si>
    <t>Provider Contracting</t>
  </si>
  <si>
    <t>Performance Improvement Projects</t>
  </si>
  <si>
    <t>Fraud, Abuse, &amp; Waste Recoveries</t>
  </si>
  <si>
    <t>Service Authorization</t>
  </si>
  <si>
    <t>Provider Complaint System</t>
  </si>
  <si>
    <t>Pharmacy Benefits Manager</t>
  </si>
  <si>
    <t>Participant Direction Option (PDO)</t>
  </si>
  <si>
    <t>Claims &amp; Provider Payment</t>
  </si>
  <si>
    <t>Physician Incentive Program</t>
  </si>
  <si>
    <t>V SAMPLE DROPDOWN OF FUNCTIONS V</t>
  </si>
  <si>
    <t>V SAMPLE DEPENDENT DROPDOWN V</t>
  </si>
  <si>
    <t>&lt;&lt; TEST CELLS</t>
  </si>
  <si>
    <t>FILTERED LIST (FOR REF)</t>
  </si>
  <si>
    <t>Applicable Line of Business</t>
  </si>
  <si>
    <t>Medical</t>
  </si>
  <si>
    <t>LTSS</t>
  </si>
  <si>
    <t>Specialty</t>
  </si>
  <si>
    <t>All</t>
  </si>
  <si>
    <t>^ From Sample Dropdown</t>
  </si>
  <si>
    <t>FILTER( XLOOKUP($A9,$G$1:$K$1,$G$2:$K$6),   XLOOKUP($A9,$G$1:$K$1,$G$2:$K$6)&lt;&gt;"")</t>
  </si>
  <si>
    <t>SRC #__: &lt;Name&gt; Instructions</t>
  </si>
  <si>
    <t>SRC #__: SRC Name</t>
  </si>
  <si>
    <t xml:space="preserve">Total Score Possible: </t>
  </si>
  <si>
    <t xml:space="preserve">[Title] SRC Score Earned: </t>
  </si>
  <si>
    <t>Heading</t>
  </si>
  <si>
    <t>Subhead</t>
  </si>
  <si>
    <t>5. Contracted Children's Hospitals</t>
  </si>
  <si>
    <t>2. Percentage of enrollees, separated by age groups, who had a signed agreement for participant direction option (PDO) services in their enrollee record</t>
  </si>
  <si>
    <t>3. Percentage of enrollees that have had outpatient encounters with the same Primary Care Provider at least two times in the last three years, with at least one outpatient visit in CY2019 and one outpatient visit in CY2021</t>
  </si>
  <si>
    <t>LAN 2C</t>
  </si>
  <si>
    <t>LAN 4C</t>
  </si>
  <si>
    <t>Total VBP Rewards</t>
  </si>
  <si>
    <t>Total VBP Penalties</t>
  </si>
  <si>
    <t>Total VBP Capitation</t>
  </si>
  <si>
    <t>VBP Contract Number</t>
  </si>
  <si>
    <t>Attributed Enrollee Count (exclude overlap, LAN 2A+).</t>
  </si>
  <si>
    <t>Skip to Entry #100</t>
  </si>
  <si>
    <t>Skip to Entry #200</t>
  </si>
  <si>
    <t>Skip to Entry #300</t>
  </si>
  <si>
    <t>Skip to Entry #400</t>
  </si>
  <si>
    <t>Back to Top (Entry #1)</t>
  </si>
  <si>
    <t>=MINIFS(B11:B510,A11:A510,A552:C552)</t>
  </si>
  <si>
    <t>Old Formulas, for reference</t>
  </si>
  <si>
    <t>=MAXIFS(B11:B510,A11:A510,A552:C552)-1</t>
  </si>
  <si>
    <t>=MAXIFS(B11:B510,A11:A510,A552:C552)</t>
  </si>
  <si>
    <t>Average percentage of claim-based expenditures</t>
  </si>
  <si>
    <t>Average percentage of attributed enrollees in VBP agreement</t>
  </si>
  <si>
    <t xml:space="preserve">Total number of scheduled Leg A trips established by standing orders (e.g., routine scheduled appointments for services such as renal dialysis, cancer treatments, etc.) where the enrollee arrived on-time for the appointment </t>
  </si>
  <si>
    <t>Trip Summary</t>
  </si>
  <si>
    <t xml:space="preserve">Scheduled </t>
  </si>
  <si>
    <t>Unscheduled</t>
  </si>
  <si>
    <t>Missed</t>
  </si>
  <si>
    <t>1. Total Number of Scheduled Leg A Trips On-Time for Appointment</t>
  </si>
  <si>
    <t>3. Number of Scheduled Leg A Trips where the non-emergency transportation provider picked up the enrollee within fifteen (15) minutes of the scheduled time for pick-up</t>
  </si>
  <si>
    <t>4. Number of Scheduled Leg B Trips where the non-emergency transportation provider picked up the enrollee within thirty (30) minutes of the scheduled time for pick-up</t>
  </si>
  <si>
    <t>5. Total Number of Trips to Urgent Care Center where the non-emergency transportation provider picked up the enrollee within three (3) hours of receiving the request</t>
  </si>
  <si>
    <t>6. Total Number of Trips to Return an Enrollee from a Hospital After Discharge where the non-emergency transportation provider picked up the enrollee within three (3) hours of receiving the request</t>
  </si>
  <si>
    <t>7. Number Missed Due to Fault of Non-Emergency Transportation Provider</t>
  </si>
  <si>
    <t>8. Currently utilizes technology to track non-emergency transportation trips in real-time, utilizing geo-mapping to locate providers at any time during service delivery</t>
  </si>
  <si>
    <t>9. Currently assessing completed or missed trips prior to adjudicating claims for those trips</t>
  </si>
  <si>
    <t>Scheduled Trips Established by Standing Order</t>
  </si>
  <si>
    <t>1. Percentage of non-emergency transportation trips that resulted in an enrollee arriving on time for an appointment </t>
  </si>
  <si>
    <t>2. Percentage of non-emergency transportation trips that resulted in an enrollee arriving late for an established, standing order appointment  </t>
  </si>
  <si>
    <t>3. Percentage of non-emergency transportation Leg A trips that resulted in pick-up of an enrollee within fifteen (15) minutes of the scheduled time</t>
  </si>
  <si>
    <t>6. Percentage of non-emergency transportation service requests for transporting enrollee following discharge from a hospital fulfilled within three (3) hours of receiving the request</t>
  </si>
  <si>
    <t xml:space="preserve">7. Percentage of missed non-emergency transportation trips due to fault of the non-emergency transportation provider </t>
  </si>
  <si>
    <t>8. Tracking Capability-Real-Time </t>
  </si>
  <si>
    <t>9. Tracking Capability-Assessing Missed Trips</t>
  </si>
  <si>
    <t xml:space="preserve">4. Percentage of non-emergency transportation Leg B trips that resulted in pick-up of an enrollee within thirty (30) minutes of the scheduled time </t>
  </si>
  <si>
    <t>5. Percent of non-emergency transportation service requests for transporting an enrollee to an urgent care center fulfilled within three (3) hours of receiving the request</t>
  </si>
  <si>
    <t>&lt;- Contract #s</t>
  </si>
  <si>
    <t>Total Number of Scheduled Leg A Trips Late for Appointment</t>
  </si>
  <si>
    <t>2. Total number of Leg A scheduled trips established by standing orders (e.g., routine scheduled appointments for services such as renal dialysis, cancer treatments, etc.) where the enrollee arrived late for the appointment</t>
  </si>
  <si>
    <t>Pathway to Prosperity Category</t>
  </si>
  <si>
    <t>Proposed Procedure Code Description</t>
  </si>
  <si>
    <r>
      <t xml:space="preserve">Proposed Procedure Code
</t>
    </r>
    <r>
      <rPr>
        <sz val="10"/>
        <color rgb="FF000000"/>
        <rFont val="Calibri"/>
        <family val="2"/>
      </rPr>
      <t>(CPT or HCPCS)</t>
    </r>
  </si>
  <si>
    <t>MMA</t>
  </si>
  <si>
    <t>LTC</t>
  </si>
  <si>
    <t>SMI</t>
  </si>
  <si>
    <t>CW</t>
  </si>
  <si>
    <r>
      <t xml:space="preserve">Proposed Applicable Benefit Plan
</t>
    </r>
    <r>
      <rPr>
        <sz val="10"/>
        <color rgb="FF000000"/>
        <rFont val="Calibri"/>
        <family val="2"/>
      </rPr>
      <t>(Select all that apply)</t>
    </r>
  </si>
  <si>
    <t>Proposed Minimum Age</t>
  </si>
  <si>
    <r>
      <t xml:space="preserve">EXPANDED BENEFITS: PREGNANT WOMEN
</t>
    </r>
    <r>
      <rPr>
        <sz val="10"/>
        <color theme="1"/>
        <rFont val="Calibri"/>
        <family val="2"/>
        <scheme val="minor"/>
      </rPr>
      <t>Note: By completing this category, the Respondent is agreeing to offer all procedures within the category.</t>
    </r>
  </si>
  <si>
    <t>Category</t>
  </si>
  <si>
    <t>Sub-Category</t>
  </si>
  <si>
    <t>Procedure Code Description</t>
  </si>
  <si>
    <t>Procedure Code</t>
  </si>
  <si>
    <t>Min Age</t>
  </si>
  <si>
    <t>Max Age</t>
  </si>
  <si>
    <t>Current Florida Medicaid Coverage (Adult)</t>
  </si>
  <si>
    <t>Expanded Benefit Coverage (Units)</t>
  </si>
  <si>
    <t>PMPM Cost</t>
  </si>
  <si>
    <r>
      <t xml:space="preserve">EXPANDED BENEFITS: CHILDREN AND ADOLESCENTS WITH A SERIOUS MENTAL ILLNESS AND/OR SUBSTANCE USE DISORDER
</t>
    </r>
    <r>
      <rPr>
        <sz val="10"/>
        <color theme="1"/>
        <rFont val="Calibri"/>
        <family val="2"/>
        <scheme val="minor"/>
      </rPr>
      <t>Note: By completing this category, the Respondent is agreeing to offer all procedures within the category.</t>
    </r>
  </si>
  <si>
    <r>
      <t xml:space="preserve">EXPANDED BENEFITS: ENROLLEES IN A HOME AND COMMUNITY-BASED SETTING, SUCH AS PEOPLE WITH DEVELOPMENTAL DISABILITIES, 
FAMILIAL DYSAUTONOMIA, OR PEOPLE IN  LONG TERM CARE SETTINGS
</t>
    </r>
    <r>
      <rPr>
        <sz val="10"/>
        <color theme="1"/>
        <rFont val="Calibri"/>
        <family val="2"/>
        <scheme val="minor"/>
      </rPr>
      <t>Note: By completing this category, the Respondent is agreeing to offer all procedures within the category.</t>
    </r>
  </si>
  <si>
    <r>
      <t xml:space="preserve">EXPANDED BENEFITS: ENROLLEES LIVING WITH HIV
</t>
    </r>
    <r>
      <rPr>
        <sz val="10"/>
        <color theme="1"/>
        <rFont val="Calibri"/>
        <family val="2"/>
        <scheme val="minor"/>
      </rPr>
      <t>Note: By completing this category, the Respondent is agreeing to offer all procedures within the category.</t>
    </r>
  </si>
  <si>
    <t>PROPOSED PROVIDER NETWORK: Physician Specialties</t>
  </si>
  <si>
    <t>Proposed Provider Network: Physician Specialties</t>
  </si>
  <si>
    <t>Proposed Florida Contract</t>
  </si>
  <si>
    <t>Item 1a: All PCPs who have a Medicaid-provider-enrolled as a:</t>
  </si>
  <si>
    <t>Item 1b:  All Pediatricians (including Adolescence Medicine) who have a Medicaid-provider-enrolled as a:</t>
  </si>
  <si>
    <t>Item 2: Providers whose Practice has Earned national Committee for Quality Assurance (NCQA) Distinction in Behavioral Health Integration:</t>
  </si>
  <si>
    <t>Item 3: Providers who Submitted At Least One Claim for Screening, Brief Intervention, Referral for Treatment (SBIRT) in Calendar Year 2022:</t>
  </si>
  <si>
    <t>Item 4: Providers who Submitted At Least One Claim for Behavioral Health Integration (BHI):</t>
  </si>
  <si>
    <t>Item 5: Unutilized, Peripheral, Standard, and Core Physicians within-network for the Following Physician Specialties:</t>
  </si>
  <si>
    <t>Item 6: Contracts with the Following Florida Pediatric Mental Health Collaborative (FPMHC) Behavioral Health Hubs at the time of submission:</t>
  </si>
  <si>
    <t>Item 1a:  All PCPs who have a Medicaid-provider-enrolled as a:</t>
  </si>
  <si>
    <t>Item 1b:  All Pediatricians who have a Medicaid-provider-enrolled as a:</t>
  </si>
  <si>
    <t>Item 3: All Providers who Submitted At Least One Claim for Screening, Brief Intervention, Referral for Treatment (SBIRT) in Calendar Year 2022:</t>
  </si>
  <si>
    <t>Item 4: All Providers who Submitted At Least One Claim for Behavioral Health Integration (BHI):</t>
  </si>
  <si>
    <t>Item 5: Core, Standard, Peripheral, Unutilized</t>
  </si>
  <si>
    <t>Item 6: FPMHC Hubs</t>
  </si>
  <si>
    <t>Contract Implementation Date</t>
  </si>
  <si>
    <t>Actual Length of Contract In Years</t>
  </si>
  <si>
    <t>Premium Revenue - Latest Contract Year</t>
  </si>
  <si>
    <t>Total number of complaints and grievances pertaining to NET per one thousand (1,000) enrollees (unscored)</t>
  </si>
  <si>
    <t>Annual Executive Manager Turnover Rate (Unscored)</t>
  </si>
  <si>
    <t>Annual Executive Manager Turnover Rate</t>
  </si>
  <si>
    <t>Proposed Maximum Age</t>
  </si>
  <si>
    <t>Proposed PMPM</t>
  </si>
  <si>
    <t>CAHPS Results SRC Final Score:</t>
  </si>
  <si>
    <t>Total Points Available Per Age Group</t>
  </si>
  <si>
    <t xml:space="preserve">The respondent must Indicate “yes” or “no” for each of the following categories of Expanded Benefits it proposes to offer to its enrollees. Complete the highlighted cells in Column H and Column I of Exhibit A-5-a-1 for all service rows in each category selected. </t>
  </si>
  <si>
    <t>Measured Claim-Based Expenditures for Attributed Enrollees (exclude overlap; LAN 3A+).</t>
  </si>
  <si>
    <t>Region(s)</t>
  </si>
  <si>
    <t>Number of Providers in the VBP Contract</t>
  </si>
  <si>
    <t>Number of OB physicians or other OB prescribing health care providers in network who prescribed MAT drugs/therapies during CY2022.</t>
  </si>
  <si>
    <t>End-stage kidney disease</t>
  </si>
  <si>
    <t>Percent of OB physicians in network who submitted at least one Medicaid claim for SBIRT (H0049, H0050, 99408, 99409, G0396, or G0397) in CY2022</t>
  </si>
  <si>
    <t>Percentage who practiced in a certified patient centered medical home (PCMH) in the most recent complete contract year</t>
  </si>
  <si>
    <t>Percentage who practiced in a certified patient centered medical home (PCMH) at the time of application submission</t>
  </si>
  <si>
    <t>1. Percentage who practiced in a certified patient centered medical home (PCMH) in the most recent complete contract year</t>
  </si>
  <si>
    <t>4. Percentage who practiced in a certified patient centered medical home (PCMH) at the time of application submission</t>
  </si>
  <si>
    <t>Licensed Marriage and Family Therapist</t>
  </si>
  <si>
    <t>CY2022 HCBS CAHPS Survey Results</t>
  </si>
  <si>
    <t>Official Contract Number (Select One)</t>
  </si>
  <si>
    <t>Calendar Year (Select One)</t>
  </si>
  <si>
    <t>Measured Claim-Based Expenditures for Attributed Enrollees (exclude overlap, LAN 3A+ only)</t>
  </si>
  <si>
    <t>Full State Name</t>
  </si>
  <si>
    <t>FORMULA COLUMN</t>
  </si>
  <si>
    <t xml:space="preserve">Complete the following information for each Pathways to Prosperity Expanded Benefits the Respondent proposes to offer to Enrollees. All columns in the row must be complete to earn the points available. </t>
  </si>
  <si>
    <r>
      <t xml:space="preserve">Proposed Expanded Benefit Coverage </t>
    </r>
    <r>
      <rPr>
        <sz val="10"/>
        <color rgb="FF000000"/>
        <rFont val="Calibri"/>
        <family val="2"/>
      </rPr>
      <t>(units, amount, and frequency)</t>
    </r>
  </si>
  <si>
    <t>I attest that the information entered into this sheet is complete and accurate.</t>
  </si>
  <si>
    <t>Beginning number of Executive Managers in the year</t>
  </si>
  <si>
    <t>Ending number of Executive Managers in the year</t>
  </si>
  <si>
    <t># of Executive Managers who left in the year (voluntary and involuntary)</t>
  </si>
  <si>
    <t>Scheduled Trips (Excluding Missed Trips)</t>
  </si>
  <si>
    <t>Unscheduled Trips (Excluding Missed Trips)</t>
  </si>
  <si>
    <t>Number of Leg A Trips Completed</t>
  </si>
  <si>
    <t>Number of Leg B Trips Completed</t>
  </si>
  <si>
    <t>Total Number of Trips Completed and Missed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</si>
</sst>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
    <numFmt numFmtId="165" formatCode="_(* #,##0_);_(* \(#,##0\);_(* &quot;-&quot;??_);_(@_)"/>
    <numFmt numFmtId="166" formatCode="&quot;$&quot;#,##0.00"/>
    <numFmt numFmtId="167" formatCode="0.0000%"/>
    <numFmt numFmtId="168" formatCode="&quot;$&quot;#,##0"/>
  </numFmts>
  <fonts count="57" x14ac:knownFonts="1">
    <font>
      <sz val="11"/>
      <color theme="1"/>
      <name val="Calibri"/>
      <family val="2"/>
      <scheme val="minor"/>
    </font>
    <font>
      <b/>
      <sz val="11"/>
      <color theme="1"/>
      <name val="Calibri"/>
      <family val="2"/>
      <scheme val="minor"/>
    </font>
    <font>
      <sz val="11"/>
      <color rgb="FF00B050"/>
      <name val="Calibri"/>
      <family val="2"/>
      <scheme val="minor"/>
    </font>
    <font>
      <sz val="18"/>
      <color theme="1"/>
      <name val="Calibri"/>
      <family val="2"/>
      <scheme val="minor"/>
    </font>
    <font>
      <sz val="20"/>
      <color theme="1"/>
      <name val="Calibri"/>
      <family val="2"/>
      <scheme val="minor"/>
    </font>
    <font>
      <b/>
      <sz val="12"/>
      <color theme="1"/>
      <name val="Calibri"/>
      <family val="2"/>
      <scheme val="minor"/>
    </font>
    <font>
      <b/>
      <sz val="14"/>
      <color theme="1"/>
      <name val="Calibri"/>
      <family val="2"/>
      <scheme val="minor"/>
    </font>
    <font>
      <b/>
      <sz val="22"/>
      <color theme="1"/>
      <name val="Calibri"/>
      <family val="2"/>
      <scheme val="minor"/>
    </font>
    <font>
      <sz val="11"/>
      <name val="Calibri"/>
      <family val="2"/>
      <scheme val="minor"/>
    </font>
    <font>
      <sz val="11"/>
      <color rgb="FF000000"/>
      <name val="Calibri"/>
      <family val="2"/>
      <scheme val="minor"/>
    </font>
    <font>
      <sz val="11"/>
      <color theme="1"/>
      <name val="Calibri"/>
      <family val="2"/>
      <scheme val="minor"/>
    </font>
    <font>
      <sz val="11"/>
      <color rgb="FF3F3F76"/>
      <name val="Calibri"/>
      <family val="2"/>
      <scheme val="minor"/>
    </font>
    <font>
      <b/>
      <sz val="18"/>
      <color theme="1"/>
      <name val="Calibri"/>
      <family val="2"/>
      <scheme val="minor"/>
    </font>
    <font>
      <u/>
      <sz val="11"/>
      <color theme="10"/>
      <name val="Calibri"/>
      <family val="2"/>
      <scheme val="minor"/>
    </font>
    <font>
      <b/>
      <sz val="16"/>
      <color theme="1"/>
      <name val="Calibri"/>
      <family val="2"/>
      <scheme val="minor"/>
    </font>
    <font>
      <b/>
      <sz val="11"/>
      <color theme="0"/>
      <name val="Calibri"/>
      <family val="2"/>
      <scheme val="minor"/>
    </font>
    <font>
      <i/>
      <sz val="11"/>
      <color theme="1"/>
      <name val="Calibri"/>
      <family val="2"/>
      <scheme val="minor"/>
    </font>
    <font>
      <b/>
      <sz val="11"/>
      <name val="Calibri"/>
      <family val="2"/>
      <scheme val="minor"/>
    </font>
    <font>
      <sz val="11"/>
      <color rgb="FF262626"/>
      <name val="Calibri"/>
      <family val="2"/>
      <scheme val="minor"/>
    </font>
    <font>
      <sz val="11"/>
      <color theme="1"/>
      <name val="Arial"/>
      <family val="2"/>
    </font>
    <font>
      <sz val="11"/>
      <color rgb="FF0070C0"/>
      <name val="Arial"/>
      <family val="2"/>
    </font>
    <font>
      <b/>
      <sz val="11"/>
      <color rgb="FF262626"/>
      <name val="Arial"/>
      <family val="2"/>
    </font>
    <font>
      <sz val="11"/>
      <color rgb="FF262626"/>
      <name val="Arial"/>
      <family val="2"/>
    </font>
    <font>
      <sz val="10"/>
      <color rgb="FF3F3F76"/>
      <name val="Calibri"/>
      <family val="2"/>
      <scheme val="minor"/>
    </font>
    <font>
      <sz val="11"/>
      <color rgb="FF000000"/>
      <name val="Calibri Light"/>
      <family val="2"/>
      <scheme val="major"/>
    </font>
    <font>
      <sz val="11"/>
      <color rgb="FF262626"/>
      <name val="Calibri Light"/>
      <family val="2"/>
      <scheme val="major"/>
    </font>
    <font>
      <sz val="11"/>
      <color theme="1"/>
      <name val="Calibri Light"/>
      <family val="2"/>
      <scheme val="major"/>
    </font>
    <font>
      <sz val="11"/>
      <color rgb="FFFF0000"/>
      <name val="Calibri"/>
      <family val="2"/>
      <scheme val="minor"/>
    </font>
    <font>
      <b/>
      <sz val="14"/>
      <color rgb="FFFF0000"/>
      <name val="Calibri"/>
      <family val="2"/>
      <scheme val="minor"/>
    </font>
    <font>
      <i/>
      <sz val="11"/>
      <name val="Calibri"/>
      <family val="2"/>
      <scheme val="minor"/>
    </font>
    <font>
      <b/>
      <sz val="13"/>
      <color rgb="FF262626"/>
      <name val="Calibri"/>
      <family val="2"/>
      <scheme val="minor"/>
    </font>
    <font>
      <b/>
      <sz val="13.5"/>
      <color theme="1"/>
      <name val="Arial"/>
      <family val="2"/>
    </font>
    <font>
      <b/>
      <sz val="11"/>
      <color rgb="FF0070C0"/>
      <name val="Arial"/>
      <family val="2"/>
    </font>
    <font>
      <sz val="8"/>
      <color theme="1"/>
      <name val="Arial"/>
      <family val="2"/>
    </font>
    <font>
      <b/>
      <sz val="11"/>
      <color rgb="FF262626"/>
      <name val="Calibri"/>
      <family val="2"/>
      <scheme val="minor"/>
    </font>
    <font>
      <b/>
      <sz val="11"/>
      <color theme="1"/>
      <name val="Arial"/>
      <family val="2"/>
    </font>
    <font>
      <b/>
      <sz val="10"/>
      <color rgb="FF262626"/>
      <name val="Arial"/>
      <family val="2"/>
    </font>
    <font>
      <sz val="11"/>
      <name val="Arial"/>
      <family val="2"/>
    </font>
    <font>
      <sz val="11"/>
      <color theme="1"/>
      <name val="Calibri"/>
      <family val="2"/>
    </font>
    <font>
      <sz val="8"/>
      <name val="Calibri"/>
      <family val="2"/>
      <scheme val="minor"/>
    </font>
    <font>
      <b/>
      <sz val="11"/>
      <color rgb="FFFF0000"/>
      <name val="Calibri"/>
      <family val="2"/>
      <scheme val="minor"/>
    </font>
    <font>
      <sz val="14"/>
      <color theme="1"/>
      <name val="Calibri"/>
      <family val="2"/>
      <scheme val="minor"/>
    </font>
    <font>
      <b/>
      <sz val="16"/>
      <name val="Calibri"/>
      <family val="2"/>
      <scheme val="minor"/>
    </font>
    <font>
      <i/>
      <sz val="10"/>
      <color theme="1"/>
      <name val="Calibri"/>
      <family val="2"/>
      <scheme val="minor"/>
    </font>
    <font>
      <b/>
      <sz val="18"/>
      <name val="Calibri"/>
      <family val="2"/>
      <scheme val="minor"/>
    </font>
    <font>
      <b/>
      <sz val="14"/>
      <name val="Calibri"/>
      <family val="2"/>
      <scheme val="minor"/>
    </font>
    <font>
      <sz val="10"/>
      <color theme="1"/>
      <name val="Calibri"/>
      <family val="2"/>
      <scheme val="minor"/>
    </font>
    <font>
      <sz val="9"/>
      <color theme="1"/>
      <name val="Segoe UI"/>
      <family val="2"/>
    </font>
    <font>
      <i/>
      <sz val="11"/>
      <color rgb="FF3F3F76"/>
      <name val="Calibri"/>
      <family val="2"/>
      <scheme val="minor"/>
    </font>
    <font>
      <sz val="11"/>
      <color rgb="FF000000"/>
      <name val="Calibri"/>
      <family val="2"/>
    </font>
    <font>
      <sz val="10.5"/>
      <color rgb="FF000000"/>
      <name val="Calibri"/>
      <family val="2"/>
      <scheme val="minor"/>
    </font>
    <font>
      <b/>
      <sz val="10"/>
      <color rgb="FF000000"/>
      <name val="Calibri"/>
      <family val="2"/>
    </font>
    <font>
      <sz val="10"/>
      <color rgb="FF000000"/>
      <name val="Calibri"/>
      <family val="2"/>
    </font>
    <font>
      <b/>
      <sz val="11"/>
      <color rgb="FF000000"/>
      <name val="Calibri"/>
      <family val="2"/>
    </font>
    <font>
      <i/>
      <sz val="11"/>
      <color rgb="FF000000"/>
      <name val="Calibri"/>
      <family val="2"/>
    </font>
    <font>
      <sz val="11"/>
      <color rgb="FF3F3F76"/>
      <name val="Calibri"/>
      <family val="2"/>
    </font>
    <font>
      <b/>
      <sz val="10"/>
      <color rgb="FF000000"/>
      <name val="Calibri"/>
      <family val="2"/>
    </font>
  </fonts>
  <fills count="18">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CC99"/>
      </patternFill>
    </fill>
    <fill>
      <patternFill patternType="solid">
        <fgColor theme="2"/>
        <bgColor indexed="64"/>
      </patternFill>
    </fill>
    <fill>
      <patternFill patternType="solid">
        <fgColor theme="1"/>
        <bgColor indexed="64"/>
      </patternFill>
    </fill>
    <fill>
      <patternFill patternType="solid">
        <fgColor theme="1" tint="4.9989318521683403E-2"/>
        <bgColor indexed="64"/>
      </patternFill>
    </fill>
    <fill>
      <patternFill patternType="solid">
        <fgColor theme="0"/>
        <bgColor indexed="64"/>
      </patternFill>
    </fill>
    <fill>
      <patternFill patternType="solid">
        <fgColor theme="4"/>
      </patternFill>
    </fill>
    <fill>
      <patternFill patternType="solid">
        <fgColor theme="6" tint="0.59999389629810485"/>
        <bgColor indexed="65"/>
      </patternFill>
    </fill>
    <fill>
      <patternFill patternType="solid">
        <fgColor theme="4" tint="0.79998168889431442"/>
        <bgColor indexed="64"/>
      </patternFill>
    </fill>
    <fill>
      <patternFill patternType="solid">
        <fgColor rgb="FFE7E6E6"/>
        <bgColor indexed="64"/>
      </patternFill>
    </fill>
    <fill>
      <patternFill patternType="solid">
        <fgColor theme="0" tint="-4.9989318521683403E-2"/>
        <bgColor indexed="64"/>
      </patternFill>
    </fill>
    <fill>
      <patternFill patternType="solid">
        <fgColor rgb="FFD9E1F2"/>
        <bgColor indexed="64"/>
      </patternFill>
    </fill>
  </fills>
  <borders count="156">
    <border>
      <left/>
      <right/>
      <top/>
      <bottom/>
      <diagonal/>
    </border>
    <border>
      <left style="thin">
        <color auto="1"/>
      </left>
      <right style="thin">
        <color auto="1"/>
      </right>
      <top style="thin">
        <color auto="1"/>
      </top>
      <bottom style="thin">
        <color auto="1"/>
      </bottom>
      <diagonal/>
    </border>
    <border>
      <left/>
      <right style="thin">
        <color indexed="64"/>
      </right>
      <top style="thin">
        <color auto="1"/>
      </top>
      <bottom style="thin">
        <color auto="1"/>
      </bottom>
      <diagonal/>
    </border>
    <border>
      <left/>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rgb="FF7F7F7F"/>
      </left>
      <right style="medium">
        <color indexed="64"/>
      </right>
      <top style="thin">
        <color rgb="FF7F7F7F"/>
      </top>
      <bottom style="thin">
        <color rgb="FF7F7F7F"/>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auto="1"/>
      </left>
      <right style="thin">
        <color auto="1"/>
      </right>
      <top style="medium">
        <color indexed="64"/>
      </top>
      <bottom style="thin">
        <color auto="1"/>
      </bottom>
      <diagonal/>
    </border>
    <border>
      <left/>
      <right style="medium">
        <color indexed="64"/>
      </right>
      <top/>
      <bottom/>
      <diagonal/>
    </border>
    <border>
      <left style="thin">
        <color auto="1"/>
      </left>
      <right style="thin">
        <color auto="1"/>
      </right>
      <top/>
      <bottom style="thin">
        <color auto="1"/>
      </bottom>
      <diagonal/>
    </border>
    <border>
      <left style="thin">
        <color indexed="64"/>
      </left>
      <right/>
      <top/>
      <bottom style="thin">
        <color auto="1"/>
      </bottom>
      <diagonal/>
    </border>
    <border>
      <left/>
      <right style="thin">
        <color indexed="64"/>
      </right>
      <top/>
      <bottom style="thin">
        <color auto="1"/>
      </bottom>
      <diagonal/>
    </border>
    <border>
      <left/>
      <right/>
      <top style="medium">
        <color indexed="64"/>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thin">
        <color auto="1"/>
      </top>
      <bottom style="medium">
        <color indexed="64"/>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style="thin">
        <color auto="1"/>
      </right>
      <top style="medium">
        <color indexed="64"/>
      </top>
      <bottom/>
      <diagonal/>
    </border>
    <border>
      <left style="medium">
        <color indexed="64"/>
      </left>
      <right style="medium">
        <color indexed="64"/>
      </right>
      <top style="medium">
        <color indexed="64"/>
      </top>
      <bottom style="medium">
        <color indexed="64"/>
      </bottom>
      <diagonal/>
    </border>
    <border>
      <left/>
      <right style="thin">
        <color auto="1"/>
      </right>
      <top style="medium">
        <color indexed="64"/>
      </top>
      <bottom style="thin">
        <color auto="1"/>
      </bottom>
      <diagonal/>
    </border>
    <border>
      <left style="thin">
        <color auto="1"/>
      </left>
      <right style="thin">
        <color auto="1"/>
      </right>
      <top style="thin">
        <color auto="1"/>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diagonal/>
    </border>
    <border>
      <left style="medium">
        <color indexed="64"/>
      </left>
      <right style="medium">
        <color indexed="64"/>
      </right>
      <top style="medium">
        <color indexed="64"/>
      </top>
      <bottom style="thin">
        <color auto="1"/>
      </bottom>
      <diagonal/>
    </border>
    <border>
      <left style="thin">
        <color auto="1"/>
      </left>
      <right/>
      <top style="medium">
        <color indexed="64"/>
      </top>
      <bottom/>
      <diagonal/>
    </border>
    <border>
      <left style="medium">
        <color indexed="64"/>
      </left>
      <right style="medium">
        <color indexed="64"/>
      </right>
      <top style="medium">
        <color indexed="64"/>
      </top>
      <bottom/>
      <diagonal/>
    </border>
    <border>
      <left/>
      <right style="medium">
        <color indexed="64"/>
      </right>
      <top style="thin">
        <color auto="1"/>
      </top>
      <bottom style="medium">
        <color indexed="64"/>
      </bottom>
      <diagonal/>
    </border>
    <border>
      <left style="medium">
        <color indexed="64"/>
      </left>
      <right/>
      <top style="thin">
        <color auto="1"/>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4"/>
      </left>
      <right/>
      <top style="thin">
        <color theme="4"/>
      </top>
      <bottom/>
      <diagonal/>
    </border>
    <border>
      <left/>
      <right style="thin">
        <color theme="4"/>
      </right>
      <top style="thin">
        <color theme="4"/>
      </top>
      <bottom/>
      <diagonal/>
    </border>
    <border>
      <left style="thin">
        <color auto="1"/>
      </left>
      <right style="thin">
        <color auto="1"/>
      </right>
      <top style="medium">
        <color indexed="64"/>
      </top>
      <bottom/>
      <diagonal/>
    </border>
    <border>
      <left style="medium">
        <color indexed="64"/>
      </left>
      <right style="thin">
        <color rgb="FF7F7F7F"/>
      </right>
      <top style="thin">
        <color rgb="FF7F7F7F"/>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rgb="FF7F7F7F"/>
      </left>
      <right style="medium">
        <color indexed="64"/>
      </right>
      <top style="medium">
        <color indexed="64"/>
      </top>
      <bottom style="thin">
        <color rgb="FF7F7F7F"/>
      </bottom>
      <diagonal/>
    </border>
    <border>
      <left style="thin">
        <color rgb="FF7F7F7F"/>
      </left>
      <right style="thin">
        <color rgb="FF7F7F7F"/>
      </right>
      <top style="thin">
        <color rgb="FF7F7F7F"/>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rgb="FF7F7F7F"/>
      </left>
      <right style="thin">
        <color rgb="FF7F7F7F"/>
      </right>
      <top/>
      <bottom style="thin">
        <color rgb="FF7F7F7F"/>
      </bottom>
      <diagonal/>
    </border>
    <border>
      <left style="medium">
        <color indexed="64"/>
      </left>
      <right style="medium">
        <color indexed="64"/>
      </right>
      <top style="thin">
        <color rgb="FF7F7F7F"/>
      </top>
      <bottom style="thin">
        <color rgb="FF7F7F7F"/>
      </bottom>
      <diagonal/>
    </border>
    <border>
      <left style="thin">
        <color rgb="FF7F7F7F"/>
      </left>
      <right/>
      <top style="thin">
        <color rgb="FF7F7F7F"/>
      </top>
      <bottom style="medium">
        <color indexed="64"/>
      </bottom>
      <diagonal/>
    </border>
    <border>
      <left/>
      <right style="thin">
        <color rgb="FF7F7F7F"/>
      </right>
      <top style="thin">
        <color rgb="FF7F7F7F"/>
      </top>
      <bottom style="medium">
        <color indexed="64"/>
      </bottom>
      <diagonal/>
    </border>
    <border>
      <left style="thin">
        <color rgb="FF7F7F7F"/>
      </left>
      <right style="medium">
        <color indexed="64"/>
      </right>
      <top/>
      <bottom style="thin">
        <color rgb="FF7F7F7F"/>
      </bottom>
      <diagonal/>
    </border>
    <border>
      <left style="medium">
        <color indexed="64"/>
      </left>
      <right style="medium">
        <color indexed="64"/>
      </right>
      <top style="medium">
        <color indexed="64"/>
      </top>
      <bottom style="thin">
        <color rgb="FF7F7F7F"/>
      </bottom>
      <diagonal/>
    </border>
    <border>
      <left style="medium">
        <color indexed="64"/>
      </left>
      <right style="medium">
        <color indexed="64"/>
      </right>
      <top style="thin">
        <color rgb="FF7F7F7F"/>
      </top>
      <bottom style="medium">
        <color indexed="64"/>
      </bottom>
      <diagonal/>
    </border>
    <border>
      <left style="thin">
        <color rgb="FF7F7F7F"/>
      </left>
      <right style="thin">
        <color rgb="FF7F7F7F"/>
      </right>
      <top style="thin">
        <color rgb="FF7F7F7F"/>
      </top>
      <bottom/>
      <diagonal/>
    </border>
    <border>
      <left style="thin">
        <color rgb="FF7F7F7F"/>
      </left>
      <right/>
      <top style="thin">
        <color rgb="FF7F7F7F"/>
      </top>
      <bottom/>
      <diagonal/>
    </border>
    <border>
      <left style="medium">
        <color indexed="64"/>
      </left>
      <right style="thin">
        <color rgb="FF7F7F7F"/>
      </right>
      <top style="thin">
        <color rgb="FF7F7F7F"/>
      </top>
      <bottom/>
      <diagonal/>
    </border>
    <border>
      <left style="thin">
        <color rgb="FF7F7F7F"/>
      </left>
      <right style="medium">
        <color indexed="64"/>
      </right>
      <top style="thin">
        <color rgb="FF7F7F7F"/>
      </top>
      <bottom/>
      <diagonal/>
    </border>
    <border>
      <left/>
      <right style="thin">
        <color rgb="FF7F7F7F"/>
      </right>
      <top style="thin">
        <color rgb="FF7F7F7F"/>
      </top>
      <bottom/>
      <diagonal/>
    </border>
    <border>
      <left style="medium">
        <color indexed="64"/>
      </left>
      <right style="thin">
        <color auto="1"/>
      </right>
      <top/>
      <bottom style="medium">
        <color indexed="64"/>
      </bottom>
      <diagonal/>
    </border>
    <border>
      <left style="thin">
        <color indexed="64"/>
      </left>
      <right style="thin">
        <color indexed="64"/>
      </right>
      <top style="thin">
        <color rgb="FF7F7F7F"/>
      </top>
      <bottom/>
      <diagonal/>
    </border>
    <border>
      <left style="thin">
        <color indexed="64"/>
      </left>
      <right/>
      <top style="thin">
        <color rgb="FF7F7F7F"/>
      </top>
      <bottom/>
      <diagonal/>
    </border>
    <border>
      <left style="thin">
        <color indexed="64"/>
      </left>
      <right style="medium">
        <color indexed="64"/>
      </right>
      <top style="thin">
        <color rgb="FF7F7F7F"/>
      </top>
      <bottom/>
      <diagonal/>
    </border>
    <border>
      <left style="thin">
        <color auto="1"/>
      </left>
      <right style="medium">
        <color indexed="64"/>
      </right>
      <top style="medium">
        <color indexed="64"/>
      </top>
      <bottom/>
      <diagonal/>
    </border>
    <border>
      <left style="thin">
        <color auto="1"/>
      </left>
      <right style="medium">
        <color indexed="64"/>
      </right>
      <top/>
      <bottom/>
      <diagonal/>
    </border>
    <border>
      <left style="thin">
        <color auto="1"/>
      </left>
      <right style="thin">
        <color auto="1"/>
      </right>
      <top/>
      <bottom style="medium">
        <color indexed="64"/>
      </bottom>
      <diagonal/>
    </border>
    <border>
      <left style="thin">
        <color rgb="FF7F7F7F"/>
      </left>
      <right style="thin">
        <color rgb="FF7F7F7F"/>
      </right>
      <top/>
      <bottom/>
      <diagonal/>
    </border>
    <border>
      <left style="thin">
        <color rgb="FF7F7F7F"/>
      </left>
      <right style="thin">
        <color rgb="FF7F7F7F"/>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style="thin">
        <color rgb="FF7F7F7F"/>
      </left>
      <right style="thin">
        <color indexed="64"/>
      </right>
      <top style="thin">
        <color rgb="FF7F7F7F"/>
      </top>
      <bottom style="thin">
        <color rgb="FF7F7F7F"/>
      </bottom>
      <diagonal/>
    </border>
    <border>
      <left style="thin">
        <color rgb="FF7F7F7F"/>
      </left>
      <right style="thin">
        <color rgb="FF7F7F7F"/>
      </right>
      <top style="medium">
        <color indexed="64"/>
      </top>
      <bottom style="thin">
        <color rgb="FF7F7F7F"/>
      </bottom>
      <diagonal/>
    </border>
    <border>
      <left/>
      <right style="thin">
        <color auto="1"/>
      </right>
      <top/>
      <bottom style="medium">
        <color indexed="64"/>
      </bottom>
      <diagonal/>
    </border>
    <border>
      <left style="medium">
        <color indexed="64"/>
      </left>
      <right/>
      <top style="thin">
        <color rgb="FF7F7F7F"/>
      </top>
      <bottom style="thin">
        <color rgb="FF7F7F7F"/>
      </bottom>
      <diagonal/>
    </border>
    <border>
      <left/>
      <right style="medium">
        <color indexed="64"/>
      </right>
      <top style="thin">
        <color rgb="FF7F7F7F"/>
      </top>
      <bottom style="thin">
        <color rgb="FF7F7F7F"/>
      </bottom>
      <diagonal/>
    </border>
    <border>
      <left style="medium">
        <color indexed="64"/>
      </left>
      <right/>
      <top style="thin">
        <color rgb="FF7F7F7F"/>
      </top>
      <bottom style="medium">
        <color indexed="64"/>
      </bottom>
      <diagonal/>
    </border>
    <border>
      <left/>
      <right style="medium">
        <color indexed="64"/>
      </right>
      <top style="thin">
        <color rgb="FF7F7F7F"/>
      </top>
      <bottom style="medium">
        <color indexed="64"/>
      </bottom>
      <diagonal/>
    </border>
    <border>
      <left style="medium">
        <color indexed="64"/>
      </left>
      <right/>
      <top style="thin">
        <color auto="1"/>
      </top>
      <bottom style="thin">
        <color rgb="FF7F7F7F"/>
      </bottom>
      <diagonal/>
    </border>
    <border>
      <left/>
      <right style="medium">
        <color indexed="64"/>
      </right>
      <top style="thin">
        <color auto="1"/>
      </top>
      <bottom style="thin">
        <color rgb="FF7F7F7F"/>
      </bottom>
      <diagonal/>
    </border>
    <border>
      <left style="thin">
        <color rgb="FF7F7F7F"/>
      </left>
      <right style="thin">
        <color indexed="64"/>
      </right>
      <top style="thin">
        <color rgb="FF7F7F7F"/>
      </top>
      <bottom/>
      <diagonal/>
    </border>
    <border>
      <left style="thin">
        <color rgb="FF7F7F7F"/>
      </left>
      <right/>
      <top/>
      <bottom style="thin">
        <color indexed="64"/>
      </bottom>
      <diagonal/>
    </border>
    <border>
      <left style="thin">
        <color rgb="FF7F7F7F"/>
      </left>
      <right style="thin">
        <color indexed="64"/>
      </right>
      <top/>
      <bottom style="thin">
        <color indexed="64"/>
      </bottom>
      <diagonal/>
    </border>
    <border>
      <left style="thin">
        <color rgb="FF7F7F7F"/>
      </left>
      <right style="medium">
        <color indexed="64"/>
      </right>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bottom style="thin">
        <color auto="1"/>
      </bottom>
      <diagonal/>
    </border>
    <border>
      <left style="thin">
        <color rgb="FF7F7F7F"/>
      </left>
      <right style="medium">
        <color indexed="64"/>
      </right>
      <top/>
      <bottom/>
      <diagonal/>
    </border>
    <border>
      <left style="thin">
        <color rgb="FF7F7F7F"/>
      </left>
      <right style="thin">
        <color rgb="FF7F7F7F"/>
      </right>
      <top style="thin">
        <color rgb="FF7F7F7F"/>
      </top>
      <bottom style="thin">
        <color indexed="64"/>
      </bottom>
      <diagonal/>
    </border>
    <border>
      <left style="thin">
        <color rgb="FF7F7F7F"/>
      </left>
      <right style="thin">
        <color rgb="FF7F7F7F"/>
      </right>
      <top style="thin">
        <color auto="1"/>
      </top>
      <bottom style="thin">
        <color rgb="FF7F7F7F"/>
      </bottom>
      <diagonal/>
    </border>
    <border>
      <left style="thin">
        <color rgb="FF7F7F7F"/>
      </left>
      <right style="thin">
        <color indexed="64"/>
      </right>
      <top style="thin">
        <color auto="1"/>
      </top>
      <bottom style="thin">
        <color rgb="FF7F7F7F"/>
      </bottom>
      <diagonal/>
    </border>
    <border>
      <left style="thin">
        <color rgb="FF7F7F7F"/>
      </left>
      <right style="thin">
        <color indexed="64"/>
      </right>
      <top style="thin">
        <color rgb="FF7F7F7F"/>
      </top>
      <bottom style="thin">
        <color indexed="64"/>
      </bottom>
      <diagonal/>
    </border>
    <border>
      <left style="thin">
        <color indexed="64"/>
      </left>
      <right style="thin">
        <color rgb="FF7F7F7F"/>
      </right>
      <top style="thin">
        <color auto="1"/>
      </top>
      <bottom style="thin">
        <color rgb="FF7F7F7F"/>
      </bottom>
      <diagonal/>
    </border>
    <border>
      <left style="thin">
        <color indexed="64"/>
      </left>
      <right style="thin">
        <color rgb="FF7F7F7F"/>
      </right>
      <top style="thin">
        <color rgb="FF7F7F7F"/>
      </top>
      <bottom style="thin">
        <color rgb="FF7F7F7F"/>
      </bottom>
      <diagonal/>
    </border>
    <border>
      <left style="thin">
        <color indexed="64"/>
      </left>
      <right style="thin">
        <color rgb="FF7F7F7F"/>
      </right>
      <top style="thin">
        <color rgb="FF7F7F7F"/>
      </top>
      <bottom style="thin">
        <color indexed="64"/>
      </bottom>
      <diagonal/>
    </border>
    <border>
      <left style="thin">
        <color rgb="FF7F7F7F"/>
      </left>
      <right/>
      <top style="medium">
        <color indexed="64"/>
      </top>
      <bottom style="medium">
        <color indexed="64"/>
      </bottom>
      <diagonal/>
    </border>
    <border>
      <left style="thin">
        <color rgb="FF7F7F7F"/>
      </left>
      <right/>
      <top/>
      <bottom style="thin">
        <color rgb="FF7F7F7F"/>
      </bottom>
      <diagonal/>
    </border>
    <border>
      <left/>
      <right style="thin">
        <color rgb="FF7F7F7F"/>
      </right>
      <top style="medium">
        <color indexed="64"/>
      </top>
      <bottom style="medium">
        <color indexed="64"/>
      </bottom>
      <diagonal/>
    </border>
    <border>
      <left/>
      <right style="thin">
        <color rgb="FF7F7F7F"/>
      </right>
      <top/>
      <bottom style="thin">
        <color rgb="FF7F7F7F"/>
      </bottom>
      <diagonal/>
    </border>
    <border>
      <left style="medium">
        <color indexed="64"/>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medium">
        <color indexed="64"/>
      </left>
      <right style="thin">
        <color rgb="FF7F7F7F"/>
      </right>
      <top/>
      <bottom style="thin">
        <color rgb="FF7F7F7F"/>
      </bottom>
      <diagonal/>
    </border>
    <border>
      <left style="thin">
        <color indexed="64"/>
      </left>
      <right/>
      <top style="medium">
        <color indexed="64"/>
      </top>
      <bottom style="medium">
        <color indexed="64"/>
      </bottom>
      <diagonal/>
    </border>
    <border>
      <left style="thin">
        <color auto="1"/>
      </left>
      <right/>
      <top/>
      <bottom style="medium">
        <color indexed="64"/>
      </bottom>
      <diagonal/>
    </border>
    <border>
      <left style="dotted">
        <color theme="6"/>
      </left>
      <right/>
      <top/>
      <bottom/>
      <diagonal/>
    </border>
    <border>
      <left style="dotted">
        <color theme="6"/>
      </left>
      <right/>
      <top/>
      <bottom style="dotted">
        <color theme="6" tint="0.39997558519241921"/>
      </bottom>
      <diagonal/>
    </border>
    <border>
      <left/>
      <right/>
      <top/>
      <bottom style="dotted">
        <color theme="6" tint="0.39997558519241921"/>
      </bottom>
      <diagonal/>
    </border>
    <border>
      <left/>
      <right style="thin">
        <color auto="1"/>
      </right>
      <top/>
      <bottom style="dotted">
        <color theme="6" tint="0.39997558519241921"/>
      </bottom>
      <diagonal/>
    </border>
    <border>
      <left style="medium">
        <color indexed="64"/>
      </left>
      <right/>
      <top/>
      <bottom style="dotted">
        <color theme="6" tint="0.39997558519241921"/>
      </bottom>
      <diagonal/>
    </border>
    <border>
      <left/>
      <right style="medium">
        <color indexed="64"/>
      </right>
      <top/>
      <bottom style="dotted">
        <color theme="6" tint="0.39997558519241921"/>
      </bottom>
      <diagonal/>
    </border>
    <border>
      <left style="thin">
        <color auto="1"/>
      </left>
      <right/>
      <top/>
      <bottom style="dotted">
        <color theme="6" tint="0.39997558519241921"/>
      </bottom>
      <diagonal/>
    </border>
    <border>
      <left style="thin">
        <color indexed="64"/>
      </left>
      <right/>
      <top style="dotted">
        <color theme="6" tint="0.39997558519241921"/>
      </top>
      <bottom/>
      <diagonal/>
    </border>
    <border>
      <left/>
      <right/>
      <top style="dotted">
        <color theme="6" tint="0.39997558519241921"/>
      </top>
      <bottom/>
      <diagonal/>
    </border>
    <border>
      <left/>
      <right style="medium">
        <color indexed="64"/>
      </right>
      <top style="dotted">
        <color theme="6" tint="0.39997558519241921"/>
      </top>
      <bottom/>
      <diagonal/>
    </border>
    <border>
      <left style="medium">
        <color indexed="64"/>
      </left>
      <right/>
      <top style="dotted">
        <color theme="6" tint="0.39997558519241921"/>
      </top>
      <bottom/>
      <diagonal/>
    </border>
    <border>
      <left style="thin">
        <color rgb="FF7F7F7F"/>
      </left>
      <right/>
      <top/>
      <bottom/>
      <diagonal/>
    </border>
    <border>
      <left style="thin">
        <color rgb="FF7F7F7F"/>
      </left>
      <right style="thin">
        <color rgb="FF7F7F7F"/>
      </right>
      <top/>
      <bottom style="medium">
        <color indexed="64"/>
      </bottom>
      <diagonal/>
    </border>
    <border>
      <left style="medium">
        <color indexed="64"/>
      </left>
      <right style="medium">
        <color indexed="64"/>
      </right>
      <top style="thin">
        <color auto="1"/>
      </top>
      <bottom/>
      <diagonal/>
    </border>
    <border>
      <left style="thin">
        <color auto="1"/>
      </left>
      <right/>
      <top style="thin">
        <color auto="1"/>
      </top>
      <bottom style="thin">
        <color rgb="FF7F7F7F"/>
      </bottom>
      <diagonal/>
    </border>
    <border>
      <left style="thin">
        <color auto="1"/>
      </left>
      <right/>
      <top style="thin">
        <color rgb="FF7F7F7F"/>
      </top>
      <bottom style="thin">
        <color rgb="FF7F7F7F"/>
      </bottom>
      <diagonal/>
    </border>
    <border>
      <left/>
      <right style="medium">
        <color indexed="64"/>
      </right>
      <top/>
      <bottom style="thin">
        <color auto="1"/>
      </bottom>
      <diagonal/>
    </border>
    <border>
      <left style="medium">
        <color indexed="64"/>
      </left>
      <right style="medium">
        <color indexed="64"/>
      </right>
      <top style="thin">
        <color rgb="FF7F7F7F"/>
      </top>
      <bottom/>
      <diagonal/>
    </border>
    <border>
      <left style="medium">
        <color indexed="64"/>
      </left>
      <right style="medium">
        <color indexed="64"/>
      </right>
      <top/>
      <bottom style="thin">
        <color rgb="FF7F7F7F"/>
      </bottom>
      <diagonal/>
    </border>
    <border>
      <left style="thin">
        <color rgb="FF7F7F7F"/>
      </left>
      <right/>
      <top style="medium">
        <color indexed="64"/>
      </top>
      <bottom style="thin">
        <color rgb="FF7F7F7F"/>
      </bottom>
      <diagonal/>
    </border>
    <border>
      <left style="thin">
        <color theme="4"/>
      </left>
      <right style="thin">
        <color theme="4"/>
      </right>
      <top style="thin">
        <color theme="4"/>
      </top>
      <bottom style="thin">
        <color theme="4"/>
      </bottom>
      <diagonal/>
    </border>
    <border>
      <left style="medium">
        <color indexed="64"/>
      </left>
      <right style="thin">
        <color indexed="64"/>
      </right>
      <top style="thin">
        <color rgb="FF7F7F7F"/>
      </top>
      <bottom style="medium">
        <color indexed="64"/>
      </bottom>
      <diagonal/>
    </border>
    <border>
      <left style="medium">
        <color indexed="64"/>
      </left>
      <right style="thin">
        <color indexed="64"/>
      </right>
      <top style="thin">
        <color rgb="FF7F7F7F"/>
      </top>
      <bottom style="thin">
        <color rgb="FF7F7F7F"/>
      </bottom>
      <diagonal/>
    </border>
  </borders>
  <cellStyleXfs count="16">
    <xf numFmtId="0" fontId="0" fillId="0" borderId="0"/>
    <xf numFmtId="43" fontId="10" fillId="0" borderId="0" applyFont="0" applyFill="0" applyBorder="0" applyAlignment="0" applyProtection="0"/>
    <xf numFmtId="0" fontId="11" fillId="7" borderId="7" applyNumberFormat="0" applyAlignment="0" applyProtection="0"/>
    <xf numFmtId="0" fontId="44" fillId="0" borderId="0" applyNumberFormat="0" applyFill="0" applyBorder="0" applyProtection="0">
      <alignment horizontal="left"/>
    </xf>
    <xf numFmtId="0" fontId="15" fillId="12" borderId="0" applyNumberFormat="0" applyBorder="0" applyAlignment="0" applyProtection="0"/>
    <xf numFmtId="0" fontId="40" fillId="0" borderId="0" applyFill="0" applyBorder="0" applyAlignment="0" applyProtection="0"/>
    <xf numFmtId="3" fontId="3" fillId="0" borderId="27" applyNumberFormat="0" applyFill="0" applyBorder="0">
      <alignment horizontal="center"/>
    </xf>
    <xf numFmtId="0" fontId="1" fillId="0" borderId="1" applyNumberFormat="0">
      <alignment horizontal="left" wrapText="1"/>
    </xf>
    <xf numFmtId="0" fontId="42" fillId="0" borderId="0" applyNumberFormat="0" applyFill="0" applyAlignment="0" applyProtection="0"/>
    <xf numFmtId="0" fontId="11" fillId="14" borderId="7" applyNumberFormat="0" applyAlignment="0" applyProtection="0"/>
    <xf numFmtId="9" fontId="10" fillId="0" borderId="0" applyFont="0" applyFill="0" applyBorder="0" applyAlignment="0" applyProtection="0"/>
    <xf numFmtId="0" fontId="10" fillId="0" borderId="0" applyNumberFormat="0" applyFont="0" applyBorder="0" applyAlignment="0" applyProtection="0"/>
    <xf numFmtId="0" fontId="13" fillId="0" borderId="0" applyNumberFormat="0" applyFill="0" applyBorder="0" applyAlignment="0" applyProtection="0"/>
    <xf numFmtId="9" fontId="40" fillId="0" borderId="55"/>
    <xf numFmtId="1" fontId="40" fillId="0" borderId="55">
      <alignment wrapText="1"/>
    </xf>
    <xf numFmtId="44" fontId="10" fillId="0" borderId="0" applyFont="0" applyFill="0" applyBorder="0" applyAlignment="0" applyProtection="0"/>
  </cellStyleXfs>
  <cellXfs count="1578">
    <xf numFmtId="0" fontId="0" fillId="0" borderId="0" xfId="0"/>
    <xf numFmtId="0" fontId="4" fillId="2" borderId="0" xfId="0" applyFont="1" applyFill="1"/>
    <xf numFmtId="0" fontId="0" fillId="2" borderId="0" xfId="0" applyFill="1"/>
    <xf numFmtId="0" fontId="4" fillId="3" borderId="0" xfId="0" applyFont="1" applyFill="1"/>
    <xf numFmtId="0" fontId="0" fillId="3" borderId="0" xfId="0" applyFill="1"/>
    <xf numFmtId="0" fontId="2" fillId="0" borderId="0" xfId="0" applyFont="1"/>
    <xf numFmtId="164" fontId="0" fillId="0" borderId="0" xfId="0" applyNumberFormat="1"/>
    <xf numFmtId="0" fontId="5" fillId="0" borderId="0" xfId="0" applyFont="1" applyAlignment="1">
      <alignment horizontal="center"/>
    </xf>
    <xf numFmtId="0" fontId="4" fillId="5" borderId="0" xfId="0" applyFont="1" applyFill="1"/>
    <xf numFmtId="0" fontId="0" fillId="5" borderId="0" xfId="0" applyFill="1"/>
    <xf numFmtId="0" fontId="11" fillId="7" borderId="7" xfId="2"/>
    <xf numFmtId="0" fontId="4" fillId="6" borderId="0" xfId="0" applyFont="1" applyFill="1"/>
    <xf numFmtId="0" fontId="0" fillId="6" borderId="0" xfId="0" applyFill="1"/>
    <xf numFmtId="0" fontId="12" fillId="0" borderId="0" xfId="0" applyFont="1"/>
    <xf numFmtId="0" fontId="7" fillId="0" borderId="0" xfId="0" applyFont="1"/>
    <xf numFmtId="0" fontId="1" fillId="0" borderId="1" xfId="0" applyFont="1" applyBorder="1"/>
    <xf numFmtId="0" fontId="1" fillId="0" borderId="0" xfId="0" applyFont="1"/>
    <xf numFmtId="0" fontId="0" fillId="0" borderId="0" xfId="0" applyAlignment="1">
      <alignment wrapText="1"/>
    </xf>
    <xf numFmtId="0" fontId="1" fillId="0" borderId="1" xfId="0" applyFont="1" applyBorder="1" applyAlignment="1">
      <alignment horizontal="center" wrapText="1"/>
    </xf>
    <xf numFmtId="0" fontId="7" fillId="0" borderId="0" xfId="0" applyFont="1" applyAlignment="1">
      <alignment horizontal="left"/>
    </xf>
    <xf numFmtId="0" fontId="0" fillId="0" borderId="0" xfId="0" applyAlignment="1">
      <alignment horizontal="center"/>
    </xf>
    <xf numFmtId="49" fontId="0" fillId="0" borderId="0" xfId="0" applyNumberFormat="1" applyAlignment="1">
      <alignment horizontal="left" wrapText="1"/>
    </xf>
    <xf numFmtId="0" fontId="18" fillId="0" borderId="0" xfId="0" applyFont="1"/>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0" xfId="0" applyFont="1" applyAlignment="1">
      <alignment horizontal="center" wrapText="1"/>
    </xf>
    <xf numFmtId="0" fontId="0" fillId="0" borderId="14" xfId="0" applyBorder="1"/>
    <xf numFmtId="0" fontId="0" fillId="0" borderId="17" xfId="0" applyBorder="1"/>
    <xf numFmtId="0" fontId="0" fillId="10" borderId="35" xfId="0" applyFill="1" applyBorder="1" applyAlignment="1">
      <alignment horizontal="center"/>
    </xf>
    <xf numFmtId="0" fontId="0" fillId="10" borderId="13" xfId="0" applyFill="1" applyBorder="1"/>
    <xf numFmtId="0" fontId="0" fillId="10" borderId="1" xfId="0" applyFill="1" applyBorder="1"/>
    <xf numFmtId="0" fontId="0" fillId="10" borderId="14" xfId="0" applyFill="1" applyBorder="1"/>
    <xf numFmtId="0" fontId="0" fillId="0" borderId="13" xfId="0" applyBorder="1" applyAlignment="1">
      <alignment wrapText="1"/>
    </xf>
    <xf numFmtId="0" fontId="0" fillId="0" borderId="1" xfId="0" applyBorder="1" applyAlignment="1">
      <alignment wrapText="1"/>
    </xf>
    <xf numFmtId="1" fontId="11" fillId="0" borderId="0" xfId="1" applyNumberFormat="1" applyFont="1" applyFill="1" applyBorder="1" applyAlignment="1">
      <alignment horizontal="center"/>
    </xf>
    <xf numFmtId="3" fontId="23" fillId="0" borderId="0" xfId="1" applyNumberFormat="1" applyFont="1" applyFill="1" applyBorder="1" applyAlignment="1">
      <alignment horizontal="right"/>
    </xf>
    <xf numFmtId="0" fontId="27" fillId="0" borderId="0" xfId="0" applyFont="1"/>
    <xf numFmtId="0" fontId="28" fillId="0" borderId="0" xfId="0" applyFont="1"/>
    <xf numFmtId="0" fontId="27" fillId="0" borderId="0" xfId="0" applyFont="1" applyAlignment="1">
      <alignment wrapText="1"/>
    </xf>
    <xf numFmtId="0" fontId="27" fillId="0" borderId="0" xfId="0" applyFont="1" applyAlignment="1">
      <alignment vertical="center"/>
    </xf>
    <xf numFmtId="0" fontId="0" fillId="11" borderId="1" xfId="0" applyFill="1" applyBorder="1"/>
    <xf numFmtId="0" fontId="27" fillId="0" borderId="0" xfId="0" applyFont="1" applyAlignment="1">
      <alignment horizontal="right"/>
    </xf>
    <xf numFmtId="0" fontId="6" fillId="0" borderId="0" xfId="0" applyFont="1"/>
    <xf numFmtId="0" fontId="0" fillId="11" borderId="1" xfId="0" applyFill="1" applyBorder="1" applyAlignment="1">
      <alignment wrapText="1"/>
    </xf>
    <xf numFmtId="0" fontId="0" fillId="0" borderId="13" xfId="0" applyBorder="1" applyAlignment="1">
      <alignment horizontal="center" vertical="center" wrapText="1"/>
    </xf>
    <xf numFmtId="0" fontId="19" fillId="0" borderId="0" xfId="0" applyFont="1" applyAlignment="1">
      <alignment horizontal="left" vertical="center" indent="3"/>
    </xf>
    <xf numFmtId="0" fontId="0" fillId="0" borderId="0" xfId="0" applyAlignment="1">
      <alignment horizontal="left" indent="3"/>
    </xf>
    <xf numFmtId="0" fontId="21" fillId="0" borderId="0" xfId="0" applyFont="1" applyAlignment="1">
      <alignment horizontal="left" vertical="center" indent="14"/>
    </xf>
    <xf numFmtId="0" fontId="25" fillId="0" borderId="0" xfId="0" applyFont="1" applyAlignment="1">
      <alignment vertical="center"/>
    </xf>
    <xf numFmtId="0" fontId="26" fillId="0" borderId="0" xfId="0" applyFont="1"/>
    <xf numFmtId="0" fontId="18" fillId="0" borderId="33" xfId="0" applyFont="1" applyBorder="1" applyAlignment="1">
      <alignment vertical="center"/>
    </xf>
    <xf numFmtId="0" fontId="18" fillId="0" borderId="1" xfId="0" applyFont="1" applyBorder="1" applyAlignment="1">
      <alignment vertical="center"/>
    </xf>
    <xf numFmtId="0" fontId="0" fillId="0" borderId="1" xfId="0" applyBorder="1" applyAlignment="1">
      <alignment vertical="center" wrapText="1"/>
    </xf>
    <xf numFmtId="0" fontId="0" fillId="0" borderId="16" xfId="0" applyBorder="1" applyAlignment="1">
      <alignment horizontal="center" vertical="center" wrapText="1"/>
    </xf>
    <xf numFmtId="0" fontId="9" fillId="0" borderId="18" xfId="0" applyFont="1" applyBorder="1" applyAlignment="1">
      <alignment horizontal="center" vertical="center" wrapText="1"/>
    </xf>
    <xf numFmtId="0" fontId="0" fillId="0" borderId="53" xfId="0" applyBorder="1" applyAlignment="1">
      <alignment horizontal="center" vertical="center" wrapText="1"/>
    </xf>
    <xf numFmtId="0" fontId="17" fillId="4" borderId="22" xfId="0" applyFont="1" applyFill="1" applyBorder="1"/>
    <xf numFmtId="0" fontId="17" fillId="11" borderId="2" xfId="0" applyFont="1" applyFill="1" applyBorder="1" applyAlignment="1">
      <alignment horizontal="left"/>
    </xf>
    <xf numFmtId="0" fontId="8" fillId="11" borderId="4" xfId="0" applyFont="1" applyFill="1" applyBorder="1"/>
    <xf numFmtId="0" fontId="8" fillId="11" borderId="1" xfId="0" applyFont="1" applyFill="1" applyBorder="1"/>
    <xf numFmtId="0" fontId="8" fillId="11" borderId="29" xfId="0" applyFont="1" applyFill="1" applyBorder="1"/>
    <xf numFmtId="0" fontId="8" fillId="11" borderId="55" xfId="0" applyFont="1" applyFill="1" applyBorder="1"/>
    <xf numFmtId="0" fontId="17" fillId="11" borderId="3" xfId="0" applyFont="1" applyFill="1" applyBorder="1" applyAlignment="1">
      <alignment horizontal="left"/>
    </xf>
    <xf numFmtId="0" fontId="0" fillId="10" borderId="36" xfId="0" applyFill="1" applyBorder="1" applyAlignment="1">
      <alignment horizontal="center"/>
    </xf>
    <xf numFmtId="0" fontId="29" fillId="11" borderId="2" xfId="0" applyFont="1" applyFill="1" applyBorder="1" applyAlignment="1">
      <alignment horizontal="left" indent="1"/>
    </xf>
    <xf numFmtId="0" fontId="8" fillId="11" borderId="36" xfId="0" applyFont="1" applyFill="1" applyBorder="1"/>
    <xf numFmtId="0" fontId="8" fillId="11" borderId="35" xfId="0" applyFont="1" applyFill="1" applyBorder="1"/>
    <xf numFmtId="0" fontId="17" fillId="11" borderId="20" xfId="0" applyFont="1" applyFill="1" applyBorder="1" applyAlignment="1">
      <alignment horizontal="left"/>
    </xf>
    <xf numFmtId="0" fontId="17" fillId="4" borderId="32" xfId="0" applyFont="1" applyFill="1" applyBorder="1" applyAlignment="1">
      <alignment horizontal="center"/>
    </xf>
    <xf numFmtId="0" fontId="17" fillId="4" borderId="60" xfId="0" applyFont="1" applyFill="1" applyBorder="1" applyAlignment="1">
      <alignment horizontal="center"/>
    </xf>
    <xf numFmtId="0" fontId="9" fillId="0" borderId="0" xfId="0" applyFont="1"/>
    <xf numFmtId="0" fontId="11" fillId="0" borderId="0" xfId="2" applyFill="1" applyBorder="1"/>
    <xf numFmtId="0" fontId="0" fillId="9" borderId="1" xfId="0" applyFill="1" applyBorder="1"/>
    <xf numFmtId="0" fontId="1" fillId="0" borderId="13" xfId="0" applyFont="1" applyBorder="1"/>
    <xf numFmtId="0" fontId="1" fillId="0" borderId="13" xfId="0" applyFont="1" applyBorder="1" applyAlignment="1">
      <alignment wrapText="1"/>
    </xf>
    <xf numFmtId="0" fontId="0" fillId="9" borderId="14" xfId="0" applyFill="1" applyBorder="1"/>
    <xf numFmtId="0" fontId="1" fillId="6" borderId="32" xfId="0" applyFont="1" applyFill="1" applyBorder="1" applyAlignment="1">
      <alignment wrapText="1"/>
    </xf>
    <xf numFmtId="0" fontId="8" fillId="0" borderId="13" xfId="0" applyFont="1" applyBorder="1" applyAlignment="1">
      <alignment horizontal="left" vertical="top" wrapText="1"/>
    </xf>
    <xf numFmtId="3" fontId="8" fillId="0" borderId="1" xfId="0" applyNumberFormat="1" applyFont="1" applyBorder="1"/>
    <xf numFmtId="10" fontId="8" fillId="0" borderId="1" xfId="0" applyNumberFormat="1" applyFont="1" applyBorder="1"/>
    <xf numFmtId="0" fontId="0" fillId="0" borderId="16" xfId="0" applyBorder="1"/>
    <xf numFmtId="0" fontId="0" fillId="0" borderId="18" xfId="0" applyBorder="1"/>
    <xf numFmtId="10" fontId="8" fillId="0" borderId="0" xfId="0" applyNumberFormat="1" applyFont="1"/>
    <xf numFmtId="0" fontId="33" fillId="0" borderId="0" xfId="0" applyFont="1" applyAlignment="1">
      <alignment vertical="center"/>
    </xf>
    <xf numFmtId="0" fontId="0" fillId="0" borderId="32" xfId="0" applyBorder="1"/>
    <xf numFmtId="0" fontId="0" fillId="9" borderId="1" xfId="0" applyFill="1" applyBorder="1" applyAlignment="1">
      <alignment horizontal="center"/>
    </xf>
    <xf numFmtId="0" fontId="0" fillId="9" borderId="14" xfId="0" applyFill="1" applyBorder="1" applyAlignment="1">
      <alignment horizontal="center"/>
    </xf>
    <xf numFmtId="0" fontId="0" fillId="9" borderId="4" xfId="0" applyFill="1" applyBorder="1" applyAlignment="1">
      <alignment horizontal="center"/>
    </xf>
    <xf numFmtId="0" fontId="0" fillId="0" borderId="48" xfId="0" applyBorder="1"/>
    <xf numFmtId="0" fontId="11" fillId="0" borderId="0" xfId="0" applyFont="1"/>
    <xf numFmtId="0" fontId="0" fillId="9" borderId="13" xfId="0" applyFill="1" applyBorder="1"/>
    <xf numFmtId="0" fontId="0" fillId="9" borderId="34" xfId="0" applyFill="1" applyBorder="1"/>
    <xf numFmtId="0" fontId="0" fillId="0" borderId="13" xfId="0" applyBorder="1"/>
    <xf numFmtId="0" fontId="30" fillId="0" borderId="0" xfId="0" applyFont="1" applyAlignment="1">
      <alignment horizontal="justify" vertical="center" wrapText="1"/>
    </xf>
    <xf numFmtId="0" fontId="31" fillId="0" borderId="0" xfId="0" applyFont="1" applyAlignment="1">
      <alignment vertical="center" wrapText="1"/>
    </xf>
    <xf numFmtId="0" fontId="22" fillId="0" borderId="0" xfId="0" applyFont="1" applyAlignment="1">
      <alignment horizontal="justify" vertical="center" wrapText="1"/>
    </xf>
    <xf numFmtId="0" fontId="20" fillId="0" borderId="0" xfId="0" applyFont="1" applyAlignment="1">
      <alignment horizontal="justify" vertical="center" wrapText="1"/>
    </xf>
    <xf numFmtId="0" fontId="0" fillId="0" borderId="0" xfId="0" applyAlignment="1">
      <alignment vertical="center" wrapText="1"/>
    </xf>
    <xf numFmtId="0" fontId="34" fillId="0" borderId="0" xfId="0" applyFont="1" applyAlignment="1">
      <alignment vertical="center" wrapText="1"/>
    </xf>
    <xf numFmtId="0" fontId="35" fillId="0" borderId="0" xfId="0" applyFont="1" applyAlignment="1">
      <alignment vertical="center" wrapText="1"/>
    </xf>
    <xf numFmtId="0" fontId="36" fillId="0" borderId="0" xfId="0" applyFont="1" applyAlignment="1">
      <alignment horizontal="left" vertical="center" wrapText="1" indent="5"/>
    </xf>
    <xf numFmtId="0" fontId="19" fillId="0" borderId="0" xfId="0" applyFont="1" applyAlignment="1">
      <alignment vertical="center" wrapText="1"/>
    </xf>
    <xf numFmtId="0" fontId="21" fillId="0" borderId="0" xfId="0" applyFont="1" applyAlignment="1">
      <alignment horizontal="left" vertical="center" wrapText="1" indent="11"/>
    </xf>
    <xf numFmtId="0" fontId="19" fillId="0" borderId="0" xfId="0" applyFont="1" applyAlignment="1">
      <alignment horizontal="left" vertical="center" wrapText="1" indent="11"/>
    </xf>
    <xf numFmtId="0" fontId="32" fillId="0" borderId="0" xfId="0" applyFont="1" applyAlignment="1">
      <alignment horizontal="left" vertical="center" wrapText="1" indent="11"/>
    </xf>
    <xf numFmtId="0" fontId="37" fillId="0" borderId="0" xfId="0" applyFont="1" applyAlignment="1">
      <alignment horizontal="left" vertical="center" wrapText="1" indent="16"/>
    </xf>
    <xf numFmtId="0" fontId="37" fillId="0" borderId="0" xfId="0" applyFont="1" applyAlignment="1">
      <alignment horizontal="left" vertical="center" wrapText="1" indent="18"/>
    </xf>
    <xf numFmtId="0" fontId="21" fillId="0" borderId="0" xfId="0" applyFont="1" applyAlignment="1">
      <alignment vertical="center" wrapText="1"/>
    </xf>
    <xf numFmtId="0" fontId="38" fillId="0" borderId="1" xfId="0" applyFont="1" applyBorder="1" applyAlignment="1">
      <alignment vertical="center" wrapText="1"/>
    </xf>
    <xf numFmtId="0" fontId="38" fillId="0" borderId="13" xfId="0" applyFont="1" applyBorder="1" applyAlignment="1">
      <alignment vertical="center" wrapText="1"/>
    </xf>
    <xf numFmtId="0" fontId="0" fillId="0" borderId="0" xfId="0" applyProtection="1">
      <protection locked="0"/>
    </xf>
    <xf numFmtId="0" fontId="0" fillId="0" borderId="0" xfId="0" applyAlignment="1" applyProtection="1">
      <alignment wrapText="1"/>
      <protection locked="0"/>
    </xf>
    <xf numFmtId="164" fontId="0" fillId="0" borderId="1" xfId="0" applyNumberFormat="1" applyBorder="1"/>
    <xf numFmtId="1" fontId="0" fillId="0" borderId="0" xfId="0" applyNumberFormat="1"/>
    <xf numFmtId="0" fontId="0" fillId="0" borderId="14" xfId="0" applyBorder="1" applyAlignment="1">
      <alignment horizontal="center" vertical="center"/>
    </xf>
    <xf numFmtId="0" fontId="0" fillId="0" borderId="1" xfId="0" applyBorder="1" applyAlignment="1">
      <alignment horizontal="center" vertical="center"/>
    </xf>
    <xf numFmtId="164" fontId="0" fillId="0" borderId="13" xfId="0" applyNumberFormat="1" applyBorder="1"/>
    <xf numFmtId="1" fontId="0" fillId="0" borderId="14" xfId="0" applyNumberFormat="1" applyBorder="1"/>
    <xf numFmtId="0" fontId="3" fillId="0" borderId="0" xfId="0" applyFont="1"/>
    <xf numFmtId="1" fontId="0" fillId="0" borderId="1" xfId="0" applyNumberFormat="1" applyBorder="1"/>
    <xf numFmtId="0" fontId="16" fillId="0" borderId="13" xfId="0" applyFont="1" applyBorder="1" applyAlignment="1">
      <alignment horizontal="left" wrapText="1" indent="2"/>
    </xf>
    <xf numFmtId="0" fontId="16" fillId="0" borderId="16" xfId="0" applyFont="1" applyBorder="1" applyAlignment="1">
      <alignment horizontal="left" wrapText="1" indent="2"/>
    </xf>
    <xf numFmtId="0" fontId="0" fillId="0" borderId="0" xfId="0" applyAlignment="1">
      <alignment horizontal="left" indent="1"/>
    </xf>
    <xf numFmtId="0" fontId="0" fillId="0" borderId="1" xfId="0" applyBorder="1" applyAlignment="1">
      <alignment horizontal="left" indent="3"/>
    </xf>
    <xf numFmtId="0" fontId="0" fillId="0" borderId="1" xfId="0" applyBorder="1" applyAlignment="1">
      <alignment horizontal="left" wrapText="1" indent="3"/>
    </xf>
    <xf numFmtId="164" fontId="0" fillId="0" borderId="13" xfId="0" applyNumberFormat="1" applyBorder="1" applyAlignment="1">
      <alignment wrapText="1"/>
    </xf>
    <xf numFmtId="1" fontId="0" fillId="0" borderId="18" xfId="0" applyNumberFormat="1" applyBorder="1"/>
    <xf numFmtId="1" fontId="0" fillId="0" borderId="48" xfId="0" applyNumberFormat="1" applyBorder="1"/>
    <xf numFmtId="164" fontId="0" fillId="0" borderId="20" xfId="0" applyNumberFormat="1" applyBorder="1" applyAlignment="1">
      <alignment horizontal="right"/>
    </xf>
    <xf numFmtId="0" fontId="0" fillId="0" borderId="57" xfId="0" applyBorder="1"/>
    <xf numFmtId="0" fontId="16" fillId="0" borderId="0" xfId="0" applyFont="1" applyAlignment="1">
      <alignment horizontal="left" indent="2"/>
    </xf>
    <xf numFmtId="0" fontId="16" fillId="0" borderId="13" xfId="0" applyFont="1" applyBorder="1" applyAlignment="1">
      <alignment horizontal="left" indent="2"/>
    </xf>
    <xf numFmtId="0" fontId="16" fillId="0" borderId="16" xfId="0" applyFont="1" applyBorder="1" applyAlignment="1">
      <alignment horizontal="left" indent="2"/>
    </xf>
    <xf numFmtId="0" fontId="0" fillId="0" borderId="59" xfId="0" applyBorder="1"/>
    <xf numFmtId="0" fontId="0" fillId="0" borderId="4" xfId="0" applyBorder="1" applyAlignment="1">
      <alignment horizontal="center" vertical="center"/>
    </xf>
    <xf numFmtId="0" fontId="0" fillId="0" borderId="2" xfId="0" applyBorder="1" applyAlignment="1">
      <alignment horizontal="center" vertical="center"/>
    </xf>
    <xf numFmtId="0" fontId="0" fillId="0" borderId="34" xfId="0" applyBorder="1"/>
    <xf numFmtId="0" fontId="40" fillId="0" borderId="0" xfId="0" applyFont="1"/>
    <xf numFmtId="0" fontId="17" fillId="4" borderId="60" xfId="0" applyFont="1" applyFill="1" applyBorder="1"/>
    <xf numFmtId="0" fontId="0" fillId="0" borderId="20" xfId="0" applyBorder="1"/>
    <xf numFmtId="0" fontId="0" fillId="0" borderId="6" xfId="0" applyBorder="1"/>
    <xf numFmtId="0" fontId="0" fillId="0" borderId="2" xfId="0" applyBorder="1"/>
    <xf numFmtId="0" fontId="40" fillId="0" borderId="0" xfId="5" applyAlignment="1">
      <alignment horizontal="right"/>
    </xf>
    <xf numFmtId="0" fontId="10" fillId="0" borderId="35" xfId="11" applyBorder="1" applyAlignment="1">
      <alignment horizontal="center"/>
    </xf>
    <xf numFmtId="0" fontId="11" fillId="14" borderId="7" xfId="9" applyAlignment="1">
      <alignment horizontal="center"/>
    </xf>
    <xf numFmtId="0" fontId="11" fillId="14" borderId="7" xfId="9"/>
    <xf numFmtId="0" fontId="15" fillId="12" borderId="27" xfId="4" applyBorder="1"/>
    <xf numFmtId="0" fontId="15" fillId="12" borderId="33" xfId="4" applyBorder="1"/>
    <xf numFmtId="0" fontId="15" fillId="12" borderId="28" xfId="4" applyBorder="1"/>
    <xf numFmtId="9" fontId="15" fillId="12" borderId="1" xfId="4" applyNumberFormat="1" applyBorder="1"/>
    <xf numFmtId="0" fontId="15" fillId="12" borderId="1" xfId="4" applyBorder="1"/>
    <xf numFmtId="0" fontId="42" fillId="0" borderId="0" xfId="8"/>
    <xf numFmtId="0" fontId="15" fillId="12" borderId="68" xfId="4" applyBorder="1" applyAlignment="1">
      <alignment horizontal="center"/>
    </xf>
    <xf numFmtId="0" fontId="15" fillId="12" borderId="69" xfId="4" applyBorder="1" applyAlignment="1">
      <alignment horizontal="center"/>
    </xf>
    <xf numFmtId="0" fontId="15" fillId="12" borderId="52" xfId="4" applyBorder="1"/>
    <xf numFmtId="0" fontId="15" fillId="12" borderId="62" xfId="4" applyBorder="1"/>
    <xf numFmtId="0" fontId="15" fillId="12" borderId="53" xfId="4" applyBorder="1"/>
    <xf numFmtId="9" fontId="15" fillId="12" borderId="27" xfId="4" applyNumberFormat="1" applyBorder="1"/>
    <xf numFmtId="0" fontId="15" fillId="12" borderId="27" xfId="4" applyBorder="1" applyAlignment="1">
      <alignment horizontal="center" vertical="center"/>
    </xf>
    <xf numFmtId="0" fontId="15" fillId="12" borderId="33" xfId="4" applyBorder="1" applyAlignment="1">
      <alignment horizontal="center" vertical="center"/>
    </xf>
    <xf numFmtId="0" fontId="15" fillId="12" borderId="43" xfId="4" applyBorder="1" applyAlignment="1">
      <alignment horizontal="center" vertical="center"/>
    </xf>
    <xf numFmtId="0" fontId="0" fillId="0" borderId="13" xfId="11" applyFont="1" applyBorder="1" applyAlignment="1">
      <alignment horizontal="center" vertical="center"/>
    </xf>
    <xf numFmtId="0" fontId="0" fillId="0" borderId="1" xfId="11" applyFont="1" applyBorder="1" applyAlignment="1">
      <alignment horizontal="center" vertical="center"/>
    </xf>
    <xf numFmtId="0" fontId="0" fillId="9" borderId="32" xfId="0" applyFill="1" applyBorder="1"/>
    <xf numFmtId="1" fontId="0" fillId="0" borderId="1" xfId="11" applyNumberFormat="1" applyFont="1" applyBorder="1" applyAlignment="1">
      <alignment horizontal="center"/>
    </xf>
    <xf numFmtId="1" fontId="0" fillId="0" borderId="14" xfId="11" applyNumberFormat="1" applyFont="1" applyBorder="1" applyAlignment="1">
      <alignment horizontal="center"/>
    </xf>
    <xf numFmtId="0" fontId="1" fillId="0" borderId="0" xfId="0" applyFont="1" applyAlignment="1">
      <alignment wrapText="1"/>
    </xf>
    <xf numFmtId="0" fontId="15" fillId="12" borderId="70" xfId="4" applyBorder="1" applyAlignment="1">
      <alignment horizontal="center"/>
    </xf>
    <xf numFmtId="0" fontId="0" fillId="0" borderId="27" xfId="0" applyBorder="1"/>
    <xf numFmtId="0" fontId="0" fillId="11" borderId="55" xfId="0" applyFill="1" applyBorder="1"/>
    <xf numFmtId="1" fontId="0" fillId="0" borderId="59" xfId="0" applyNumberFormat="1" applyBorder="1"/>
    <xf numFmtId="0" fontId="16" fillId="0" borderId="1" xfId="0" applyFont="1" applyBorder="1" applyAlignment="1">
      <alignment horizontal="left" wrapText="1"/>
    </xf>
    <xf numFmtId="0" fontId="15" fillId="12" borderId="14" xfId="4" applyBorder="1"/>
    <xf numFmtId="0" fontId="15" fillId="12" borderId="13" xfId="4" applyBorder="1"/>
    <xf numFmtId="0" fontId="1" fillId="0" borderId="39" xfId="0" applyFont="1" applyBorder="1" applyAlignment="1">
      <alignment wrapText="1"/>
    </xf>
    <xf numFmtId="0" fontId="16" fillId="0" borderId="56" xfId="0" applyFont="1" applyBorder="1" applyAlignment="1">
      <alignment horizontal="left" wrapText="1" indent="2"/>
    </xf>
    <xf numFmtId="0" fontId="1" fillId="0" borderId="46" xfId="11" applyFont="1" applyBorder="1" applyAlignment="1">
      <alignment horizontal="center"/>
    </xf>
    <xf numFmtId="0" fontId="16" fillId="0" borderId="13" xfId="0" applyFont="1" applyBorder="1" applyAlignment="1">
      <alignment horizontal="left" wrapText="1" indent="3"/>
    </xf>
    <xf numFmtId="0" fontId="1" fillId="0" borderId="1" xfId="11" applyFont="1" applyBorder="1" applyAlignment="1">
      <alignment horizontal="left" wrapText="1"/>
    </xf>
    <xf numFmtId="0" fontId="40" fillId="0" borderId="1" xfId="5" applyBorder="1"/>
    <xf numFmtId="0" fontId="1" fillId="0" borderId="1" xfId="7" applyAlignment="1">
      <alignment horizontal="center" wrapText="1"/>
    </xf>
    <xf numFmtId="0" fontId="16" fillId="0" borderId="13" xfId="11" applyFont="1" applyBorder="1" applyAlignment="1">
      <alignment horizontal="left" indent="2"/>
    </xf>
    <xf numFmtId="0" fontId="16" fillId="0" borderId="16" xfId="11" applyFont="1" applyBorder="1" applyAlignment="1">
      <alignment horizontal="left" indent="2"/>
    </xf>
    <xf numFmtId="9" fontId="15" fillId="12" borderId="52" xfId="4" applyNumberFormat="1" applyBorder="1"/>
    <xf numFmtId="9" fontId="15" fillId="12" borderId="52" xfId="4" applyNumberFormat="1" applyBorder="1" applyAlignment="1">
      <alignment wrapText="1"/>
    </xf>
    <xf numFmtId="9" fontId="15" fillId="12" borderId="63" xfId="4" applyNumberFormat="1" applyBorder="1" applyAlignment="1">
      <alignment wrapText="1"/>
    </xf>
    <xf numFmtId="0" fontId="16" fillId="0" borderId="1" xfId="11" applyFont="1" applyBorder="1" applyAlignment="1">
      <alignment horizontal="left" indent="2"/>
    </xf>
    <xf numFmtId="1" fontId="0" fillId="0" borderId="1" xfId="11" applyNumberFormat="1" applyFont="1" applyBorder="1"/>
    <xf numFmtId="1" fontId="0" fillId="0" borderId="14" xfId="11" applyNumberFormat="1" applyFont="1" applyBorder="1"/>
    <xf numFmtId="0" fontId="0" fillId="0" borderId="1" xfId="11" applyFont="1" applyBorder="1"/>
    <xf numFmtId="0" fontId="0" fillId="0" borderId="14" xfId="11" applyFont="1" applyBorder="1"/>
    <xf numFmtId="1" fontId="0" fillId="0" borderId="18" xfId="11" applyNumberFormat="1" applyFont="1" applyBorder="1"/>
    <xf numFmtId="0" fontId="0" fillId="0" borderId="0" xfId="11" applyFont="1"/>
    <xf numFmtId="164" fontId="0" fillId="0" borderId="13" xfId="11" applyNumberFormat="1" applyFont="1" applyBorder="1"/>
    <xf numFmtId="0" fontId="0" fillId="0" borderId="18" xfId="11" applyFont="1" applyBorder="1"/>
    <xf numFmtId="0" fontId="40" fillId="0" borderId="0" xfId="5" applyBorder="1" applyAlignment="1">
      <alignment horizontal="right"/>
    </xf>
    <xf numFmtId="0" fontId="0" fillId="0" borderId="55" xfId="0" applyBorder="1"/>
    <xf numFmtId="0" fontId="11" fillId="0" borderId="7" xfId="11" applyFont="1" applyBorder="1" applyAlignment="1">
      <alignment horizontal="center"/>
    </xf>
    <xf numFmtId="9" fontId="15" fillId="12" borderId="10" xfId="4" applyNumberFormat="1" applyBorder="1"/>
    <xf numFmtId="9" fontId="15" fillId="12" borderId="33" xfId="4" applyNumberFormat="1" applyBorder="1"/>
    <xf numFmtId="0" fontId="0" fillId="10" borderId="37" xfId="0" applyFill="1" applyBorder="1" applyAlignment="1">
      <alignment horizontal="center"/>
    </xf>
    <xf numFmtId="9" fontId="15" fillId="12" borderId="27" xfId="4" applyNumberFormat="1" applyBorder="1" applyAlignment="1">
      <alignment horizontal="center"/>
    </xf>
    <xf numFmtId="164" fontId="0" fillId="0" borderId="13" xfId="11" applyNumberFormat="1" applyFont="1" applyBorder="1" applyAlignment="1">
      <alignment wrapText="1"/>
    </xf>
    <xf numFmtId="0" fontId="15" fillId="12" borderId="27" xfId="4" applyBorder="1" applyAlignment="1">
      <alignment horizontal="center"/>
    </xf>
    <xf numFmtId="0" fontId="15" fillId="12" borderId="62" xfId="4" applyBorder="1" applyAlignment="1">
      <alignment horizontal="center"/>
    </xf>
    <xf numFmtId="10" fontId="11" fillId="0" borderId="7" xfId="11" applyNumberFormat="1" applyFont="1" applyBorder="1"/>
    <xf numFmtId="0" fontId="0" fillId="9" borderId="4" xfId="0" applyFill="1" applyBorder="1"/>
    <xf numFmtId="0" fontId="0" fillId="9" borderId="13" xfId="0" applyFill="1" applyBorder="1" applyAlignment="1">
      <alignment horizontal="center"/>
    </xf>
    <xf numFmtId="10" fontId="11" fillId="0" borderId="15" xfId="11" applyNumberFormat="1" applyFont="1" applyBorder="1"/>
    <xf numFmtId="10" fontId="11" fillId="0" borderId="75" xfId="11" applyNumberFormat="1" applyFont="1" applyBorder="1"/>
    <xf numFmtId="10" fontId="11" fillId="0" borderId="73" xfId="11" applyNumberFormat="1" applyFont="1" applyBorder="1"/>
    <xf numFmtId="0" fontId="0" fillId="9" borderId="2" xfId="0" applyFill="1" applyBorder="1"/>
    <xf numFmtId="0" fontId="15" fillId="12" borderId="4" xfId="4" applyBorder="1"/>
    <xf numFmtId="0" fontId="15" fillId="12" borderId="2" xfId="4" applyBorder="1"/>
    <xf numFmtId="0" fontId="0" fillId="0" borderId="25" xfId="0" applyBorder="1" applyAlignment="1">
      <alignment wrapText="1"/>
    </xf>
    <xf numFmtId="0" fontId="0" fillId="0" borderId="65" xfId="0" applyBorder="1" applyAlignment="1">
      <alignment wrapText="1"/>
    </xf>
    <xf numFmtId="0" fontId="0" fillId="0" borderId="56" xfId="0" applyBorder="1" applyAlignment="1">
      <alignment wrapText="1"/>
    </xf>
    <xf numFmtId="0" fontId="0" fillId="0" borderId="61" xfId="0" applyBorder="1" applyAlignment="1">
      <alignment wrapText="1"/>
    </xf>
    <xf numFmtId="0" fontId="0" fillId="0" borderId="76" xfId="0" applyBorder="1" applyAlignment="1">
      <alignment wrapText="1"/>
    </xf>
    <xf numFmtId="0" fontId="0" fillId="0" borderId="77" xfId="0" applyBorder="1" applyAlignment="1">
      <alignment wrapText="1"/>
    </xf>
    <xf numFmtId="0" fontId="0" fillId="0" borderId="56" xfId="0" applyBorder="1"/>
    <xf numFmtId="0" fontId="0" fillId="0" borderId="10" xfId="0" applyBorder="1" applyAlignment="1">
      <alignment wrapText="1"/>
    </xf>
    <xf numFmtId="1" fontId="40" fillId="0" borderId="1" xfId="5" applyNumberFormat="1" applyBorder="1"/>
    <xf numFmtId="0" fontId="15" fillId="12" borderId="61" xfId="4" applyBorder="1" applyAlignment="1">
      <alignment horizontal="center"/>
    </xf>
    <xf numFmtId="0" fontId="15" fillId="0" borderId="0" xfId="4" applyFill="1" applyBorder="1" applyAlignment="1">
      <alignment horizontal="center" vertical="center"/>
    </xf>
    <xf numFmtId="10" fontId="11" fillId="9" borderId="1" xfId="9" applyNumberFormat="1" applyFill="1" applyBorder="1" applyAlignment="1">
      <alignment horizontal="center"/>
    </xf>
    <xf numFmtId="0" fontId="11" fillId="9" borderId="1" xfId="9" applyFill="1" applyBorder="1" applyAlignment="1">
      <alignment horizontal="center"/>
    </xf>
    <xf numFmtId="0" fontId="40" fillId="0" borderId="0" xfId="5"/>
    <xf numFmtId="164" fontId="0" fillId="0" borderId="1" xfId="11" applyNumberFormat="1" applyFont="1" applyBorder="1" applyAlignment="1">
      <alignment horizontal="center"/>
    </xf>
    <xf numFmtId="10" fontId="8" fillId="0" borderId="14" xfId="11" applyNumberFormat="1" applyFont="1" applyBorder="1"/>
    <xf numFmtId="0" fontId="1" fillId="0" borderId="13" xfId="7" applyBorder="1" applyAlignment="1">
      <alignment horizontal="center" wrapText="1"/>
    </xf>
    <xf numFmtId="0" fontId="1" fillId="0" borderId="14" xfId="7" applyBorder="1" applyAlignment="1">
      <alignment horizontal="center" wrapText="1"/>
    </xf>
    <xf numFmtId="9" fontId="15" fillId="0" borderId="0" xfId="4" applyNumberFormat="1" applyFill="1" applyBorder="1" applyAlignment="1">
      <alignment wrapText="1"/>
    </xf>
    <xf numFmtId="164" fontId="0" fillId="0" borderId="0" xfId="0" applyNumberFormat="1" applyAlignment="1">
      <alignment horizontal="right"/>
    </xf>
    <xf numFmtId="0" fontId="1" fillId="0" borderId="0" xfId="11" applyFont="1" applyBorder="1" applyAlignment="1">
      <alignment horizontal="center"/>
    </xf>
    <xf numFmtId="1" fontId="0" fillId="0" borderId="0" xfId="11" applyNumberFormat="1" applyFont="1" applyBorder="1"/>
    <xf numFmtId="164" fontId="0" fillId="0" borderId="0" xfId="11" applyNumberFormat="1" applyFont="1" applyBorder="1" applyAlignment="1">
      <alignment horizontal="right"/>
    </xf>
    <xf numFmtId="0" fontId="0" fillId="0" borderId="0" xfId="0" applyAlignment="1">
      <alignment horizontal="right"/>
    </xf>
    <xf numFmtId="1" fontId="0" fillId="0" borderId="36" xfId="0" applyNumberFormat="1" applyBorder="1" applyAlignment="1">
      <alignment horizontal="center" wrapText="1"/>
    </xf>
    <xf numFmtId="1" fontId="0" fillId="0" borderId="37" xfId="0" applyNumberFormat="1" applyBorder="1" applyAlignment="1">
      <alignment horizontal="center" wrapText="1"/>
    </xf>
    <xf numFmtId="0" fontId="11" fillId="0" borderId="0" xfId="9" applyFill="1" applyBorder="1" applyAlignment="1">
      <alignment horizontal="center"/>
    </xf>
    <xf numFmtId="0" fontId="0" fillId="0" borderId="0" xfId="0" applyAlignment="1" applyProtection="1">
      <alignment horizontal="center" wrapText="1"/>
      <protection locked="0"/>
    </xf>
    <xf numFmtId="0" fontId="0" fillId="0" borderId="0" xfId="0" applyAlignment="1" applyProtection="1">
      <alignment horizontal="center"/>
      <protection locked="0"/>
    </xf>
    <xf numFmtId="3" fontId="3" fillId="0" borderId="59" xfId="11" applyNumberFormat="1" applyFont="1" applyBorder="1" applyAlignment="1">
      <alignment horizontal="center"/>
    </xf>
    <xf numFmtId="0" fontId="5" fillId="0" borderId="37" xfId="11" applyFont="1" applyBorder="1" applyAlignment="1">
      <alignment horizontal="right"/>
    </xf>
    <xf numFmtId="0" fontId="0" fillId="0" borderId="49" xfId="11" applyFont="1" applyBorder="1" applyAlignment="1">
      <alignment horizontal="right"/>
    </xf>
    <xf numFmtId="0" fontId="5" fillId="0" borderId="33" xfId="11" applyFont="1" applyBorder="1" applyAlignment="1">
      <alignment horizontal="right"/>
    </xf>
    <xf numFmtId="3" fontId="0" fillId="0" borderId="1" xfId="11" applyNumberFormat="1" applyFont="1" applyBorder="1" applyAlignment="1">
      <alignment horizontal="center"/>
    </xf>
    <xf numFmtId="3" fontId="0" fillId="0" borderId="59" xfId="11" applyNumberFormat="1" applyFont="1" applyBorder="1" applyAlignment="1">
      <alignment horizontal="center"/>
    </xf>
    <xf numFmtId="0" fontId="1" fillId="0" borderId="17" xfId="7" applyBorder="1">
      <alignment horizontal="left" wrapText="1"/>
    </xf>
    <xf numFmtId="0" fontId="11" fillId="0" borderId="71" xfId="11" applyFont="1" applyBorder="1" applyAlignment="1">
      <alignment horizontal="center"/>
    </xf>
    <xf numFmtId="0" fontId="11" fillId="0" borderId="72" xfId="11" applyFont="1" applyBorder="1" applyAlignment="1">
      <alignment horizontal="center"/>
    </xf>
    <xf numFmtId="0" fontId="11" fillId="0" borderId="75" xfId="11" applyFont="1" applyBorder="1" applyAlignment="1">
      <alignment horizontal="center"/>
    </xf>
    <xf numFmtId="0" fontId="11" fillId="0" borderId="85" xfId="9" applyFill="1" applyBorder="1" applyAlignment="1">
      <alignment horizontal="center"/>
    </xf>
    <xf numFmtId="0" fontId="11" fillId="0" borderId="85" xfId="11" applyFont="1" applyBorder="1" applyAlignment="1">
      <alignment horizontal="center"/>
    </xf>
    <xf numFmtId="0" fontId="11" fillId="0" borderId="87" xfId="11" applyFont="1" applyBorder="1" applyAlignment="1">
      <alignment horizont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5" xfId="11" applyFont="1" applyBorder="1" applyAlignment="1">
      <alignment horizontal="center" vertical="center"/>
    </xf>
    <xf numFmtId="0" fontId="0" fillId="0" borderId="36" xfId="11" applyFont="1" applyBorder="1" applyAlignment="1">
      <alignment horizontal="center" vertical="center"/>
    </xf>
    <xf numFmtId="0" fontId="0" fillId="0" borderId="39" xfId="11" applyFont="1" applyBorder="1" applyAlignment="1">
      <alignment horizontal="center" vertical="center"/>
    </xf>
    <xf numFmtId="0" fontId="0" fillId="0" borderId="37" xfId="0" applyBorder="1" applyAlignment="1">
      <alignment horizontal="center" vertical="center"/>
    </xf>
    <xf numFmtId="0" fontId="0" fillId="0" borderId="40" xfId="0" applyBorder="1" applyAlignment="1">
      <alignment horizontal="center" vertical="center"/>
    </xf>
    <xf numFmtId="0" fontId="0" fillId="0" borderId="39" xfId="0" applyBorder="1" applyAlignment="1">
      <alignment horizontal="center" vertical="center"/>
    </xf>
    <xf numFmtId="10" fontId="0" fillId="0" borderId="91" xfId="10" applyNumberFormat="1" applyFont="1" applyBorder="1" applyAlignment="1">
      <alignment horizontal="center"/>
    </xf>
    <xf numFmtId="10" fontId="0" fillId="0" borderId="92" xfId="10" applyNumberFormat="1" applyFont="1" applyBorder="1" applyAlignment="1">
      <alignment horizontal="center"/>
    </xf>
    <xf numFmtId="0" fontId="1" fillId="0" borderId="0" xfId="11" applyFont="1" applyBorder="1"/>
    <xf numFmtId="0" fontId="11" fillId="0" borderId="71" xfId="9" applyFill="1" applyBorder="1" applyAlignment="1">
      <alignment horizontal="center"/>
    </xf>
    <xf numFmtId="10" fontId="0" fillId="0" borderId="93" xfId="10" applyNumberFormat="1" applyFont="1" applyBorder="1" applyAlignment="1">
      <alignment horizontal="center"/>
    </xf>
    <xf numFmtId="0" fontId="11" fillId="0" borderId="87" xfId="9" applyFill="1" applyBorder="1" applyAlignment="1">
      <alignment horizontal="center"/>
    </xf>
    <xf numFmtId="0" fontId="11" fillId="0" borderId="72" xfId="9" applyFill="1" applyBorder="1" applyAlignment="1">
      <alignment horizontal="center"/>
    </xf>
    <xf numFmtId="0" fontId="11" fillId="0" borderId="75" xfId="9" applyFill="1" applyBorder="1" applyAlignment="1">
      <alignment horizontal="center"/>
    </xf>
    <xf numFmtId="10" fontId="11" fillId="0" borderId="85" xfId="10" applyNumberFormat="1" applyFont="1" applyFill="1" applyBorder="1" applyAlignment="1">
      <alignment horizontal="center"/>
    </xf>
    <xf numFmtId="0" fontId="0" fillId="0" borderId="37" xfId="11" applyFont="1" applyBorder="1" applyAlignment="1">
      <alignment horizontal="center" vertical="center"/>
    </xf>
    <xf numFmtId="0" fontId="0" fillId="0" borderId="2" xfId="11" applyFont="1" applyBorder="1" applyAlignment="1">
      <alignment horizontal="center" vertical="center"/>
    </xf>
    <xf numFmtId="167" fontId="0" fillId="0" borderId="91" xfId="10" applyNumberFormat="1" applyFont="1" applyBorder="1" applyAlignment="1">
      <alignment horizontal="center"/>
    </xf>
    <xf numFmtId="0" fontId="15" fillId="12" borderId="94" xfId="4" applyBorder="1"/>
    <xf numFmtId="1" fontId="0" fillId="0" borderId="40" xfId="0" applyNumberFormat="1" applyBorder="1"/>
    <xf numFmtId="1" fontId="0" fillId="0" borderId="28" xfId="0" applyNumberFormat="1" applyBorder="1"/>
    <xf numFmtId="0" fontId="15" fillId="12" borderId="30" xfId="4" applyBorder="1"/>
    <xf numFmtId="1" fontId="0" fillId="0" borderId="54" xfId="0" applyNumberFormat="1" applyBorder="1"/>
    <xf numFmtId="9" fontId="15" fillId="12" borderId="38" xfId="4" applyNumberFormat="1" applyBorder="1"/>
    <xf numFmtId="164" fontId="0" fillId="0" borderId="43" xfId="0" applyNumberFormat="1" applyBorder="1" applyAlignment="1">
      <alignment wrapText="1"/>
    </xf>
    <xf numFmtId="164" fontId="0" fillId="0" borderId="4" xfId="0" applyNumberFormat="1" applyBorder="1"/>
    <xf numFmtId="0" fontId="15" fillId="12" borderId="94" xfId="4" applyBorder="1" applyAlignment="1">
      <alignment wrapText="1"/>
    </xf>
    <xf numFmtId="0" fontId="0" fillId="0" borderId="28" xfId="0" applyBorder="1"/>
    <xf numFmtId="1" fontId="0" fillId="0" borderId="54" xfId="11" applyNumberFormat="1" applyFont="1" applyBorder="1"/>
    <xf numFmtId="0" fontId="0" fillId="0" borderId="2" xfId="11" applyFont="1" applyBorder="1"/>
    <xf numFmtId="164" fontId="0" fillId="0" borderId="4" xfId="11" applyNumberFormat="1" applyFont="1" applyBorder="1"/>
    <xf numFmtId="0" fontId="0" fillId="0" borderId="28" xfId="11" applyFont="1" applyBorder="1"/>
    <xf numFmtId="1" fontId="0" fillId="0" borderId="37" xfId="0" applyNumberFormat="1" applyBorder="1"/>
    <xf numFmtId="0" fontId="1" fillId="0" borderId="0" xfId="7" applyBorder="1">
      <alignment horizontal="left" wrapText="1"/>
    </xf>
    <xf numFmtId="0" fontId="16" fillId="0" borderId="0" xfId="0" applyFont="1" applyAlignment="1">
      <alignment horizontal="left" wrapText="1"/>
    </xf>
    <xf numFmtId="0" fontId="1" fillId="0" borderId="27" xfId="7" applyBorder="1">
      <alignment horizontal="left" wrapText="1"/>
    </xf>
    <xf numFmtId="0" fontId="1" fillId="0" borderId="28" xfId="7" applyBorder="1">
      <alignment horizontal="left" wrapText="1"/>
    </xf>
    <xf numFmtId="0" fontId="1" fillId="0" borderId="59" xfId="7" applyBorder="1">
      <alignment horizontal="left" wrapText="1"/>
    </xf>
    <xf numFmtId="0" fontId="1" fillId="0" borderId="16" xfId="7" applyBorder="1">
      <alignment horizontal="left" wrapText="1"/>
    </xf>
    <xf numFmtId="0" fontId="42" fillId="0" borderId="0" xfId="8" applyAlignment="1">
      <alignment horizontal="left" wrapText="1"/>
    </xf>
    <xf numFmtId="0" fontId="44" fillId="0" borderId="0" xfId="3" applyAlignment="1"/>
    <xf numFmtId="0" fontId="1" fillId="0" borderId="39" xfId="7" applyBorder="1">
      <alignment horizontal="left" wrapText="1"/>
    </xf>
    <xf numFmtId="0" fontId="1" fillId="0" borderId="40" xfId="7" applyBorder="1">
      <alignment horizontal="left" wrapText="1"/>
    </xf>
    <xf numFmtId="10" fontId="8" fillId="0" borderId="24" xfId="11" applyNumberFormat="1" applyFont="1" applyBorder="1" applyAlignment="1">
      <alignment horizontal="center"/>
    </xf>
    <xf numFmtId="0" fontId="21" fillId="0" borderId="0" xfId="0" applyFont="1" applyAlignment="1">
      <alignment vertical="center"/>
    </xf>
    <xf numFmtId="0" fontId="14" fillId="0" borderId="0" xfId="0" applyFont="1"/>
    <xf numFmtId="1" fontId="8" fillId="0" borderId="0" xfId="0" applyNumberFormat="1" applyFont="1" applyAlignment="1">
      <alignment horizontal="right"/>
    </xf>
    <xf numFmtId="1" fontId="0" fillId="0" borderId="0" xfId="0" applyNumberFormat="1" applyAlignment="1">
      <alignment horizontal="right"/>
    </xf>
    <xf numFmtId="0" fontId="1" fillId="0" borderId="0" xfId="7" applyBorder="1" applyAlignment="1">
      <alignment wrapText="1"/>
    </xf>
    <xf numFmtId="3" fontId="0" fillId="0" borderId="0" xfId="0" applyNumberFormat="1"/>
    <xf numFmtId="1" fontId="11" fillId="0" borderId="1" xfId="11" applyNumberFormat="1" applyFont="1" applyBorder="1" applyAlignment="1">
      <alignment horizontal="right"/>
    </xf>
    <xf numFmtId="0" fontId="15" fillId="12" borderId="0" xfId="4" applyBorder="1" applyAlignment="1">
      <alignment horizontal="center"/>
    </xf>
    <xf numFmtId="3" fontId="1" fillId="0" borderId="1" xfId="7" applyNumberFormat="1">
      <alignment horizontal="left" wrapText="1"/>
    </xf>
    <xf numFmtId="0" fontId="0" fillId="0" borderId="1" xfId="11" applyFont="1" applyBorder="1" applyAlignment="1">
      <alignment horizontal="right"/>
    </xf>
    <xf numFmtId="0" fontId="0" fillId="0" borderId="17" xfId="11" applyFont="1" applyBorder="1" applyAlignment="1">
      <alignment horizontal="right"/>
    </xf>
    <xf numFmtId="168" fontId="0" fillId="0" borderId="0" xfId="0" applyNumberFormat="1"/>
    <xf numFmtId="168" fontId="8" fillId="0" borderId="1" xfId="0" applyNumberFormat="1" applyFont="1" applyBorder="1"/>
    <xf numFmtId="49" fontId="0" fillId="0" borderId="0" xfId="0" applyNumberFormat="1"/>
    <xf numFmtId="49" fontId="15" fillId="12" borderId="0" xfId="4" applyNumberFormat="1" applyBorder="1" applyAlignment="1">
      <alignment horizontal="center"/>
    </xf>
    <xf numFmtId="0" fontId="11" fillId="14" borderId="97" xfId="9" applyBorder="1" applyAlignment="1">
      <alignment horizontal="center" wrapText="1"/>
    </xf>
    <xf numFmtId="0" fontId="11" fillId="9" borderId="98" xfId="9" applyFill="1" applyBorder="1" applyAlignment="1">
      <alignment horizontal="center"/>
    </xf>
    <xf numFmtId="10" fontId="11" fillId="9" borderId="98" xfId="9" applyNumberFormat="1" applyFill="1" applyBorder="1" applyAlignment="1">
      <alignment horizontal="center"/>
    </xf>
    <xf numFmtId="10" fontId="11" fillId="0" borderId="78" xfId="11" applyNumberFormat="1" applyFont="1" applyBorder="1" applyAlignment="1">
      <alignment horizontal="center"/>
    </xf>
    <xf numFmtId="10" fontId="11" fillId="0" borderId="97" xfId="11" applyNumberFormat="1" applyFont="1" applyBorder="1" applyAlignment="1">
      <alignment horizontal="center"/>
    </xf>
    <xf numFmtId="10" fontId="11" fillId="0" borderId="98" xfId="11" applyNumberFormat="1" applyFont="1" applyBorder="1" applyAlignment="1">
      <alignment horizontal="center"/>
    </xf>
    <xf numFmtId="10" fontId="11" fillId="0" borderId="7" xfId="11" applyNumberFormat="1" applyFont="1" applyBorder="1" applyAlignment="1">
      <alignment horizontal="center"/>
    </xf>
    <xf numFmtId="3" fontId="3" fillId="0" borderId="0" xfId="6" applyNumberFormat="1" applyFill="1" applyBorder="1">
      <alignment horizontal="center"/>
    </xf>
    <xf numFmtId="0" fontId="0" fillId="15" borderId="32" xfId="11" applyFont="1" applyFill="1" applyBorder="1"/>
    <xf numFmtId="0" fontId="42" fillId="15" borderId="31" xfId="8" applyFill="1" applyBorder="1" applyAlignment="1">
      <alignment vertical="center"/>
    </xf>
    <xf numFmtId="0" fontId="42" fillId="15" borderId="38" xfId="8" applyFill="1" applyBorder="1" applyAlignment="1">
      <alignment vertical="center"/>
    </xf>
    <xf numFmtId="0" fontId="42" fillId="15" borderId="100" xfId="8" applyFill="1" applyBorder="1" applyAlignment="1">
      <alignment vertical="center"/>
    </xf>
    <xf numFmtId="0" fontId="42" fillId="8" borderId="62" xfId="8" applyFill="1" applyBorder="1"/>
    <xf numFmtId="0" fontId="42" fillId="8" borderId="38" xfId="8" applyFill="1" applyBorder="1"/>
    <xf numFmtId="1" fontId="42" fillId="8" borderId="30" xfId="8" applyNumberFormat="1" applyFill="1" applyBorder="1" applyAlignment="1">
      <alignment horizontal="center"/>
    </xf>
    <xf numFmtId="1" fontId="42" fillId="8" borderId="31" xfId="8" applyNumberFormat="1" applyFill="1" applyBorder="1" applyAlignment="1">
      <alignment horizontal="center"/>
    </xf>
    <xf numFmtId="9" fontId="11" fillId="0" borderId="0" xfId="11" applyNumberFormat="1" applyFont="1" applyBorder="1" applyAlignment="1">
      <alignment horizontal="center"/>
    </xf>
    <xf numFmtId="9" fontId="11" fillId="0" borderId="0" xfId="9" applyNumberFormat="1" applyFill="1" applyBorder="1" applyAlignment="1">
      <alignment horizontal="center"/>
    </xf>
    <xf numFmtId="0" fontId="38" fillId="0" borderId="0" xfId="0" applyFont="1" applyAlignment="1">
      <alignment vertical="center" wrapText="1"/>
    </xf>
    <xf numFmtId="9" fontId="38" fillId="0" borderId="0" xfId="0" applyNumberFormat="1" applyFont="1" applyAlignment="1">
      <alignment vertical="center" wrapText="1"/>
    </xf>
    <xf numFmtId="9" fontId="0" fillId="0" borderId="0" xfId="0" applyNumberFormat="1"/>
    <xf numFmtId="165" fontId="8" fillId="0" borderId="14" xfId="11" applyNumberFormat="1" applyFont="1" applyBorder="1"/>
    <xf numFmtId="10" fontId="8" fillId="0" borderId="18" xfId="11" applyNumberFormat="1" applyFont="1" applyBorder="1"/>
    <xf numFmtId="1" fontId="1" fillId="9" borderId="14" xfId="11" applyNumberFormat="1" applyFont="1" applyFill="1" applyBorder="1" applyAlignment="1">
      <alignment horizontal="center"/>
    </xf>
    <xf numFmtId="0" fontId="15" fillId="12" borderId="94" xfId="4" applyBorder="1" applyAlignment="1">
      <alignment horizontal="center" wrapText="1"/>
    </xf>
    <xf numFmtId="0" fontId="8" fillId="11" borderId="13" xfId="0" applyFont="1" applyFill="1" applyBorder="1"/>
    <xf numFmtId="0" fontId="8" fillId="11" borderId="56" xfId="0" applyFont="1" applyFill="1" applyBorder="1"/>
    <xf numFmtId="0" fontId="42" fillId="0" borderId="0" xfId="8" applyAlignment="1">
      <alignment horizontal="center"/>
    </xf>
    <xf numFmtId="0" fontId="16" fillId="0" borderId="19" xfId="0" applyFont="1" applyBorder="1" applyAlignment="1">
      <alignment horizontal="left" indent="2"/>
    </xf>
    <xf numFmtId="0" fontId="16" fillId="0" borderId="32" xfId="0" applyFont="1" applyBorder="1" applyAlignment="1">
      <alignment horizontal="left" indent="2"/>
    </xf>
    <xf numFmtId="0" fontId="16" fillId="0" borderId="23" xfId="0" applyFont="1" applyBorder="1" applyAlignment="1">
      <alignment horizontal="left" indent="2"/>
    </xf>
    <xf numFmtId="0" fontId="0" fillId="0" borderId="35" xfId="0" applyBorder="1"/>
    <xf numFmtId="0" fontId="9" fillId="0" borderId="0" xfId="0" applyFont="1" applyAlignment="1">
      <alignment horizontal="left" vertical="center" indent="5"/>
    </xf>
    <xf numFmtId="0" fontId="0" fillId="15" borderId="50" xfId="11" applyFont="1" applyFill="1" applyBorder="1"/>
    <xf numFmtId="10" fontId="0" fillId="0" borderId="0" xfId="0" applyNumberFormat="1"/>
    <xf numFmtId="0" fontId="8" fillId="11" borderId="1" xfId="0" applyFont="1" applyFill="1" applyBorder="1" applyAlignment="1">
      <alignment wrapText="1"/>
    </xf>
    <xf numFmtId="1" fontId="0" fillId="0" borderId="1" xfId="0" applyNumberFormat="1" applyBorder="1" applyAlignment="1">
      <alignment wrapText="1"/>
    </xf>
    <xf numFmtId="10" fontId="11" fillId="0" borderId="0" xfId="2" applyNumberFormat="1" applyFill="1" applyBorder="1"/>
    <xf numFmtId="0" fontId="0" fillId="0" borderId="55" xfId="0" applyBorder="1" applyAlignment="1">
      <alignment wrapText="1"/>
    </xf>
    <xf numFmtId="0" fontId="0" fillId="0" borderId="59" xfId="0" applyBorder="1" applyAlignment="1">
      <alignment wrapText="1"/>
    </xf>
    <xf numFmtId="10" fontId="0" fillId="0" borderId="94" xfId="0" applyNumberFormat="1" applyBorder="1" applyAlignment="1">
      <alignment wrapText="1"/>
    </xf>
    <xf numFmtId="1" fontId="0" fillId="0" borderId="59" xfId="0" applyNumberFormat="1" applyBorder="1" applyAlignment="1">
      <alignment wrapText="1"/>
    </xf>
    <xf numFmtId="0" fontId="15" fillId="12" borderId="1" xfId="4" applyBorder="1" applyAlignment="1">
      <alignment horizontal="left" wrapText="1"/>
    </xf>
    <xf numFmtId="0" fontId="1" fillId="0" borderId="37" xfId="7" applyBorder="1">
      <alignment horizontal="left" wrapText="1"/>
    </xf>
    <xf numFmtId="9" fontId="0" fillId="0" borderId="1" xfId="10" applyFont="1" applyBorder="1"/>
    <xf numFmtId="0" fontId="0" fillId="0" borderId="4" xfId="11" applyFont="1" applyBorder="1" applyAlignment="1">
      <alignment horizontal="center" vertical="center"/>
    </xf>
    <xf numFmtId="0" fontId="0" fillId="0" borderId="0" xfId="0" applyAlignment="1">
      <alignment vertical="center"/>
    </xf>
    <xf numFmtId="0" fontId="1" fillId="0" borderId="27" xfId="0" applyFont="1" applyBorder="1"/>
    <xf numFmtId="0" fontId="1" fillId="0" borderId="56" xfId="0" applyFont="1" applyBorder="1"/>
    <xf numFmtId="0" fontId="16" fillId="0" borderId="39" xfId="0" applyFont="1" applyBorder="1" applyAlignment="1">
      <alignment horizontal="left" wrapText="1" indent="2"/>
    </xf>
    <xf numFmtId="0" fontId="1" fillId="0" borderId="90" xfId="7" applyBorder="1">
      <alignment horizontal="left" wrapText="1"/>
    </xf>
    <xf numFmtId="0" fontId="1" fillId="0" borderId="96" xfId="7" applyBorder="1">
      <alignment horizontal="left" wrapText="1"/>
    </xf>
    <xf numFmtId="0" fontId="1" fillId="0" borderId="114" xfId="7" applyBorder="1">
      <alignment horizontal="left" wrapText="1"/>
    </xf>
    <xf numFmtId="0" fontId="1" fillId="0" borderId="10" xfId="7" applyBorder="1">
      <alignment horizontal="left" wrapText="1"/>
    </xf>
    <xf numFmtId="0" fontId="1" fillId="0" borderId="25" xfId="7" applyBorder="1">
      <alignment horizontal="left" wrapText="1"/>
    </xf>
    <xf numFmtId="0" fontId="1" fillId="0" borderId="53" xfId="11" applyFont="1" applyBorder="1" applyAlignment="1">
      <alignment horizontal="center"/>
    </xf>
    <xf numFmtId="10" fontId="11" fillId="0" borderId="14" xfId="11" applyNumberFormat="1" applyFont="1" applyBorder="1" applyAlignment="1">
      <alignment horizontal="center"/>
    </xf>
    <xf numFmtId="0" fontId="11" fillId="9" borderId="14" xfId="9" applyFill="1" applyBorder="1" applyAlignment="1">
      <alignment horizontal="center"/>
    </xf>
    <xf numFmtId="10" fontId="11" fillId="0" borderId="57" xfId="11" applyNumberFormat="1" applyFont="1" applyBorder="1" applyAlignment="1">
      <alignment horizontal="center"/>
    </xf>
    <xf numFmtId="10" fontId="11" fillId="0" borderId="18" xfId="11" applyNumberFormat="1" applyFont="1" applyBorder="1" applyAlignment="1">
      <alignment horizontal="center"/>
    </xf>
    <xf numFmtId="0" fontId="0" fillId="10" borderId="39" xfId="0" applyFill="1" applyBorder="1" applyAlignment="1">
      <alignment horizontal="center"/>
    </xf>
    <xf numFmtId="0" fontId="0" fillId="10" borderId="40" xfId="0" applyFill="1" applyBorder="1" applyAlignment="1">
      <alignment horizontal="center"/>
    </xf>
    <xf numFmtId="0" fontId="1" fillId="0" borderId="63" xfId="0" applyFont="1" applyBorder="1"/>
    <xf numFmtId="0" fontId="1" fillId="0" borderId="76" xfId="0" applyFont="1" applyBorder="1"/>
    <xf numFmtId="0" fontId="1" fillId="0" borderId="115" xfId="0" applyFont="1" applyBorder="1"/>
    <xf numFmtId="0" fontId="16" fillId="0" borderId="76" xfId="0" applyFont="1" applyBorder="1" applyAlignment="1">
      <alignment horizontal="left" indent="2"/>
    </xf>
    <xf numFmtId="0" fontId="1" fillId="0" borderId="76" xfId="0" applyFont="1" applyBorder="1" applyAlignment="1">
      <alignment horizontal="left"/>
    </xf>
    <xf numFmtId="0" fontId="16" fillId="0" borderId="77" xfId="0" applyFont="1" applyBorder="1" applyAlignment="1">
      <alignment horizontal="left" indent="2"/>
    </xf>
    <xf numFmtId="3" fontId="0" fillId="0" borderId="4" xfId="6" applyNumberFormat="1" applyFont="1" applyFill="1" applyBorder="1">
      <alignment horizontal="center"/>
    </xf>
    <xf numFmtId="3" fontId="0" fillId="0" borderId="2" xfId="6" applyNumberFormat="1" applyFont="1" applyFill="1" applyBorder="1">
      <alignment horizontal="center"/>
    </xf>
    <xf numFmtId="3" fontId="3" fillId="0" borderId="61" xfId="11" applyNumberFormat="1" applyFont="1" applyBorder="1" applyAlignment="1">
      <alignment horizontal="center"/>
    </xf>
    <xf numFmtId="3" fontId="0" fillId="0" borderId="77" xfId="11" applyNumberFormat="1" applyFont="1" applyBorder="1" applyAlignment="1">
      <alignment horizontal="center"/>
    </xf>
    <xf numFmtId="9" fontId="0" fillId="0" borderId="1" xfId="0" applyNumberFormat="1" applyBorder="1"/>
    <xf numFmtId="0" fontId="15" fillId="12" borderId="1" xfId="4" applyBorder="1" applyAlignment="1">
      <alignment horizontal="center" vertical="center" wrapText="1"/>
    </xf>
    <xf numFmtId="0" fontId="13" fillId="0" borderId="0" xfId="12" applyFill="1"/>
    <xf numFmtId="0" fontId="13" fillId="0" borderId="0" xfId="12" quotePrefix="1" applyFill="1"/>
    <xf numFmtId="0" fontId="42" fillId="15" borderId="32" xfId="8" applyFill="1" applyBorder="1" applyAlignment="1">
      <alignment horizontal="right" vertical="center"/>
    </xf>
    <xf numFmtId="0" fontId="9" fillId="0" borderId="0" xfId="0" applyFont="1" applyAlignment="1">
      <alignment horizontal="left" vertical="center" indent="10"/>
    </xf>
    <xf numFmtId="164" fontId="0" fillId="0" borderId="1" xfId="0" applyNumberFormat="1" applyBorder="1" applyAlignment="1">
      <alignment horizontal="left"/>
    </xf>
    <xf numFmtId="0" fontId="40" fillId="0" borderId="31" xfId="5" applyBorder="1" applyAlignment="1">
      <alignment horizontal="right"/>
    </xf>
    <xf numFmtId="0" fontId="1" fillId="0" borderId="16" xfId="7" applyBorder="1" applyAlignment="1">
      <alignment horizontal="right" wrapText="1"/>
    </xf>
    <xf numFmtId="0" fontId="0" fillId="0" borderId="0" xfId="11" applyFont="1" applyBorder="1"/>
    <xf numFmtId="0" fontId="42" fillId="0" borderId="0" xfId="3" applyNumberFormat="1" applyFont="1" applyBorder="1">
      <alignment horizontal="left"/>
    </xf>
    <xf numFmtId="0" fontId="11" fillId="0" borderId="0" xfId="9" applyFill="1" applyBorder="1"/>
    <xf numFmtId="0" fontId="11" fillId="9" borderId="124" xfId="9" applyFill="1" applyBorder="1" applyAlignment="1">
      <alignment horizontal="center"/>
    </xf>
    <xf numFmtId="10" fontId="11" fillId="0" borderId="125" xfId="11" applyNumberFormat="1" applyFont="1" applyBorder="1" applyAlignment="1">
      <alignment horizontal="center"/>
    </xf>
    <xf numFmtId="10" fontId="11" fillId="0" borderId="124" xfId="11" applyNumberFormat="1" applyFont="1" applyBorder="1" applyAlignment="1">
      <alignment horizontal="center"/>
    </xf>
    <xf numFmtId="10" fontId="11" fillId="9" borderId="129" xfId="9" applyNumberFormat="1" applyFill="1" applyBorder="1" applyAlignment="1">
      <alignment horizontal="center"/>
    </xf>
    <xf numFmtId="10" fontId="11" fillId="0" borderId="82" xfId="11" applyNumberFormat="1" applyFont="1" applyBorder="1" applyAlignment="1">
      <alignment horizontal="center"/>
    </xf>
    <xf numFmtId="10" fontId="11" fillId="0" borderId="129" xfId="11" applyNumberFormat="1" applyFont="1" applyBorder="1" applyAlignment="1">
      <alignment horizontal="center"/>
    </xf>
    <xf numFmtId="10" fontId="11" fillId="0" borderId="15" xfId="11" applyNumberFormat="1" applyFont="1" applyBorder="1" applyAlignment="1">
      <alignment horizontal="center"/>
    </xf>
    <xf numFmtId="10" fontId="11" fillId="0" borderId="75" xfId="11" applyNumberFormat="1" applyFont="1" applyBorder="1" applyAlignment="1">
      <alignment horizontal="center"/>
    </xf>
    <xf numFmtId="10" fontId="11" fillId="0" borderId="73" xfId="11" applyNumberFormat="1" applyFont="1" applyBorder="1" applyAlignment="1">
      <alignment horizontal="center"/>
    </xf>
    <xf numFmtId="0" fontId="11" fillId="0" borderId="7" xfId="9" applyFill="1" applyAlignment="1">
      <alignment horizontal="center"/>
    </xf>
    <xf numFmtId="0" fontId="15" fillId="12" borderId="1" xfId="4" applyBorder="1" applyAlignment="1">
      <alignment wrapText="1"/>
    </xf>
    <xf numFmtId="0" fontId="15" fillId="12" borderId="12" xfId="4" applyBorder="1" applyAlignment="1">
      <alignment horizontal="center"/>
    </xf>
    <xf numFmtId="0" fontId="40" fillId="0" borderId="55" xfId="5" applyBorder="1" applyAlignment="1">
      <alignment horizontal="right"/>
    </xf>
    <xf numFmtId="0" fontId="40" fillId="0" borderId="55" xfId="5" applyBorder="1"/>
    <xf numFmtId="3" fontId="3" fillId="0" borderId="0" xfId="6" applyNumberFormat="1" applyFill="1" applyBorder="1" applyAlignment="1"/>
    <xf numFmtId="0" fontId="42" fillId="0" borderId="0" xfId="3" applyFont="1">
      <alignment horizontal="left"/>
    </xf>
    <xf numFmtId="0" fontId="0" fillId="0" borderId="0" xfId="0" applyAlignment="1">
      <alignment horizontal="left"/>
    </xf>
    <xf numFmtId="0" fontId="24" fillId="0" borderId="0" xfId="0" applyFont="1" applyAlignment="1">
      <alignment vertical="center" wrapText="1"/>
    </xf>
    <xf numFmtId="1" fontId="40" fillId="0" borderId="55" xfId="5" applyNumberFormat="1" applyBorder="1"/>
    <xf numFmtId="9" fontId="40" fillId="0" borderId="55" xfId="13"/>
    <xf numFmtId="1" fontId="40" fillId="0" borderId="55" xfId="14">
      <alignment wrapText="1"/>
    </xf>
    <xf numFmtId="2" fontId="40" fillId="0" borderId="1" xfId="5" applyNumberFormat="1" applyBorder="1"/>
    <xf numFmtId="1" fontId="40" fillId="0" borderId="55" xfId="5" applyNumberFormat="1" applyBorder="1" applyAlignment="1"/>
    <xf numFmtId="10" fontId="0" fillId="0" borderId="14" xfId="10" applyNumberFormat="1" applyFont="1" applyBorder="1"/>
    <xf numFmtId="10" fontId="0" fillId="0" borderId="4" xfId="10" applyNumberFormat="1" applyFont="1" applyBorder="1"/>
    <xf numFmtId="1" fontId="40" fillId="0" borderId="1" xfId="14" applyBorder="1">
      <alignment wrapText="1"/>
    </xf>
    <xf numFmtId="0" fontId="16" fillId="0" borderId="22" xfId="0" applyFont="1" applyBorder="1" applyAlignment="1">
      <alignment horizontal="left" indent="1"/>
    </xf>
    <xf numFmtId="0" fontId="10" fillId="0" borderId="17" xfId="11" applyBorder="1" applyAlignment="1">
      <alignment horizontal="center"/>
    </xf>
    <xf numFmtId="10" fontId="10" fillId="0" borderId="17" xfId="11" applyNumberFormat="1" applyBorder="1" applyAlignment="1">
      <alignment horizontal="center"/>
    </xf>
    <xf numFmtId="0" fontId="10" fillId="0" borderId="44" xfId="11" applyBorder="1" applyAlignment="1">
      <alignment horizontal="center"/>
    </xf>
    <xf numFmtId="0" fontId="10" fillId="0" borderId="16" xfId="11" applyBorder="1" applyAlignment="1">
      <alignment horizontal="center"/>
    </xf>
    <xf numFmtId="0" fontId="10" fillId="0" borderId="18" xfId="11" applyBorder="1" applyAlignment="1">
      <alignment horizontal="center"/>
    </xf>
    <xf numFmtId="0" fontId="10" fillId="0" borderId="49" xfId="11" applyBorder="1" applyAlignment="1">
      <alignment horizontal="center"/>
    </xf>
    <xf numFmtId="0" fontId="0" fillId="0" borderId="17" xfId="11" applyFont="1" applyBorder="1" applyAlignment="1">
      <alignment horizontal="center"/>
    </xf>
    <xf numFmtId="10" fontId="0" fillId="0" borderId="17" xfId="11" applyNumberFormat="1" applyFont="1" applyBorder="1" applyAlignment="1">
      <alignment horizontal="center"/>
    </xf>
    <xf numFmtId="0" fontId="0" fillId="0" borderId="44" xfId="11" applyFont="1" applyBorder="1" applyAlignment="1">
      <alignment horizontal="center"/>
    </xf>
    <xf numFmtId="0" fontId="0" fillId="0" borderId="16" xfId="11" applyFont="1" applyBorder="1" applyAlignment="1">
      <alignment horizontal="center"/>
    </xf>
    <xf numFmtId="0" fontId="0" fillId="0" borderId="18" xfId="11" applyFont="1" applyBorder="1" applyAlignment="1">
      <alignment horizontal="center"/>
    </xf>
    <xf numFmtId="0" fontId="0" fillId="0" borderId="49" xfId="11" applyFont="1" applyBorder="1" applyAlignment="1">
      <alignment horizontal="center"/>
    </xf>
    <xf numFmtId="0" fontId="16" fillId="0" borderId="39" xfId="0" applyFont="1" applyBorder="1" applyAlignment="1">
      <alignment horizontal="left" wrapText="1" indent="1"/>
    </xf>
    <xf numFmtId="0" fontId="16" fillId="0" borderId="90" xfId="0" applyFont="1" applyBorder="1" applyAlignment="1">
      <alignment horizontal="left" wrapText="1" indent="1"/>
    </xf>
    <xf numFmtId="0" fontId="16" fillId="0" borderId="39" xfId="0" applyFont="1" applyBorder="1" applyAlignment="1">
      <alignment horizontal="left" indent="1"/>
    </xf>
    <xf numFmtId="0" fontId="16" fillId="0" borderId="60" xfId="0" applyFont="1" applyBorder="1" applyAlignment="1">
      <alignment horizontal="left" indent="1"/>
    </xf>
    <xf numFmtId="0" fontId="16" fillId="0" borderId="90" xfId="0" applyFont="1" applyBorder="1" applyAlignment="1">
      <alignment horizontal="left" indent="1"/>
    </xf>
    <xf numFmtId="0" fontId="15" fillId="12" borderId="0" xfId="4" applyAlignment="1">
      <alignment horizontal="left" wrapText="1" indent="1"/>
    </xf>
    <xf numFmtId="0" fontId="15" fillId="12" borderId="1" xfId="4" applyBorder="1" applyAlignment="1">
      <alignment horizontal="left"/>
    </xf>
    <xf numFmtId="0" fontId="16" fillId="0" borderId="1" xfId="0" applyFont="1" applyBorder="1" applyAlignment="1">
      <alignment horizontal="left" indent="1"/>
    </xf>
    <xf numFmtId="0" fontId="16" fillId="0" borderId="55" xfId="0" applyFont="1" applyBorder="1" applyAlignment="1">
      <alignment horizontal="left" indent="1"/>
    </xf>
    <xf numFmtId="0" fontId="16" fillId="0" borderId="1" xfId="0" applyFont="1" applyBorder="1" applyAlignment="1">
      <alignment horizontal="left" wrapText="1" indent="1"/>
    </xf>
    <xf numFmtId="0" fontId="15" fillId="12" borderId="1" xfId="4" applyBorder="1" applyAlignment="1">
      <alignment horizontal="left" wrapText="1" indent="1"/>
    </xf>
    <xf numFmtId="0" fontId="16" fillId="0" borderId="55" xfId="0" applyFont="1" applyBorder="1" applyAlignment="1">
      <alignment horizontal="left" wrapText="1" indent="1"/>
    </xf>
    <xf numFmtId="0" fontId="0" fillId="0" borderId="35" xfId="0" applyBorder="1" applyAlignment="1">
      <alignment wrapText="1"/>
    </xf>
    <xf numFmtId="1" fontId="0" fillId="0" borderId="55" xfId="0" applyNumberFormat="1" applyBorder="1" applyAlignment="1">
      <alignment wrapText="1"/>
    </xf>
    <xf numFmtId="1" fontId="0" fillId="0" borderId="55" xfId="0" applyNumberFormat="1" applyBorder="1"/>
    <xf numFmtId="1" fontId="0" fillId="0" borderId="35" xfId="0" applyNumberFormat="1" applyBorder="1" applyAlignment="1">
      <alignment wrapText="1"/>
    </xf>
    <xf numFmtId="1" fontId="0" fillId="0" borderId="35" xfId="0" applyNumberFormat="1" applyBorder="1"/>
    <xf numFmtId="164" fontId="15" fillId="12" borderId="1" xfId="4" applyNumberFormat="1" applyBorder="1" applyAlignment="1">
      <alignment wrapText="1"/>
    </xf>
    <xf numFmtId="0" fontId="15" fillId="12" borderId="46" xfId="4" applyBorder="1" applyAlignment="1">
      <alignment horizontal="left" wrapText="1" indent="1"/>
    </xf>
    <xf numFmtId="1" fontId="15" fillId="12" borderId="48" xfId="4" applyNumberFormat="1" applyBorder="1"/>
    <xf numFmtId="0" fontId="0" fillId="0" borderId="94" xfId="0" applyBorder="1"/>
    <xf numFmtId="0" fontId="15" fillId="12" borderId="39" xfId="4" applyBorder="1" applyAlignment="1">
      <alignment wrapText="1"/>
    </xf>
    <xf numFmtId="0" fontId="15" fillId="12" borderId="35" xfId="4" applyBorder="1" applyAlignment="1">
      <alignment wrapText="1"/>
    </xf>
    <xf numFmtId="0" fontId="1" fillId="0" borderId="52" xfId="7" applyBorder="1">
      <alignment horizontal="left" wrapText="1"/>
    </xf>
    <xf numFmtId="0" fontId="16" fillId="0" borderId="27" xfId="0" applyFont="1" applyBorder="1" applyAlignment="1">
      <alignment horizontal="left" indent="1"/>
    </xf>
    <xf numFmtId="0" fontId="45" fillId="0" borderId="0" xfId="3" applyFont="1">
      <alignment horizontal="left"/>
    </xf>
    <xf numFmtId="0" fontId="0" fillId="16" borderId="32" xfId="11" applyFont="1" applyFill="1" applyBorder="1"/>
    <xf numFmtId="0" fontId="0" fillId="8" borderId="32" xfId="11" applyFont="1" applyFill="1" applyBorder="1"/>
    <xf numFmtId="0" fontId="13" fillId="16" borderId="22" xfId="12" applyFill="1" applyBorder="1" applyAlignment="1">
      <alignment horizontal="right"/>
    </xf>
    <xf numFmtId="0" fontId="0" fillId="16" borderId="23" xfId="11" applyFont="1" applyFill="1" applyBorder="1"/>
    <xf numFmtId="0" fontId="0" fillId="16" borderId="133" xfId="11" applyFont="1" applyFill="1" applyBorder="1"/>
    <xf numFmtId="0" fontId="0" fillId="16" borderId="134" xfId="11" applyFont="1" applyFill="1" applyBorder="1"/>
    <xf numFmtId="0" fontId="29" fillId="16" borderId="136" xfId="11" applyFont="1" applyFill="1" applyBorder="1" applyAlignment="1">
      <alignment horizontal="right"/>
    </xf>
    <xf numFmtId="0" fontId="0" fillId="16" borderId="137" xfId="11" applyFont="1" applyFill="1" applyBorder="1"/>
    <xf numFmtId="0" fontId="1" fillId="0" borderId="25" xfId="0" applyFont="1" applyBorder="1" applyAlignment="1">
      <alignment wrapText="1"/>
    </xf>
    <xf numFmtId="0" fontId="0" fillId="0" borderId="114" xfId="0" applyBorder="1"/>
    <xf numFmtId="0" fontId="1" fillId="0" borderId="4" xfId="11" applyFont="1" applyBorder="1" applyAlignment="1">
      <alignment horizontal="center"/>
    </xf>
    <xf numFmtId="10" fontId="11" fillId="0" borderId="144" xfId="11" applyNumberFormat="1" applyFont="1" applyBorder="1" applyAlignment="1">
      <alignment horizontal="center"/>
    </xf>
    <xf numFmtId="10" fontId="11" fillId="0" borderId="116" xfId="11" applyNumberFormat="1" applyFont="1" applyBorder="1" applyAlignment="1">
      <alignment horizontal="center"/>
    </xf>
    <xf numFmtId="10" fontId="11" fillId="0" borderId="102" xfId="11" applyNumberFormat="1" applyFont="1" applyBorder="1" applyAlignment="1">
      <alignment horizontal="center"/>
    </xf>
    <xf numFmtId="10" fontId="11" fillId="0" borderId="145" xfId="11" applyNumberFormat="1" applyFont="1" applyBorder="1" applyAlignment="1">
      <alignment horizontal="center"/>
    </xf>
    <xf numFmtId="0" fontId="11" fillId="9" borderId="129" xfId="9" applyFill="1" applyBorder="1" applyAlignment="1">
      <alignment horizontal="center"/>
    </xf>
    <xf numFmtId="0" fontId="40" fillId="0" borderId="0" xfId="5" applyBorder="1"/>
    <xf numFmtId="0" fontId="1" fillId="0" borderId="60" xfId="0" applyFont="1" applyBorder="1"/>
    <xf numFmtId="0" fontId="1" fillId="0" borderId="46" xfId="0" applyFont="1" applyBorder="1"/>
    <xf numFmtId="0" fontId="1" fillId="0" borderId="27" xfId="0" applyFont="1" applyBorder="1" applyAlignment="1">
      <alignment wrapText="1"/>
    </xf>
    <xf numFmtId="0" fontId="11" fillId="14" borderId="7" xfId="9" applyAlignment="1" applyProtection="1">
      <alignment wrapText="1"/>
      <protection locked="0"/>
    </xf>
    <xf numFmtId="0" fontId="11" fillId="14" borderId="35" xfId="9" applyBorder="1" applyAlignment="1" applyProtection="1">
      <alignment horizontal="center"/>
      <protection locked="0"/>
    </xf>
    <xf numFmtId="0" fontId="11" fillId="14" borderId="17" xfId="9" applyBorder="1" applyAlignment="1" applyProtection="1">
      <alignment horizontal="center"/>
      <protection locked="0"/>
    </xf>
    <xf numFmtId="14" fontId="11" fillId="14" borderId="7" xfId="9" applyNumberFormat="1" applyProtection="1">
      <protection locked="0"/>
    </xf>
    <xf numFmtId="0" fontId="11" fillId="14" borderId="75" xfId="9" applyBorder="1" applyProtection="1">
      <protection locked="0"/>
    </xf>
    <xf numFmtId="0" fontId="11" fillId="14" borderId="15" xfId="9" applyBorder="1" applyProtection="1">
      <protection locked="0"/>
    </xf>
    <xf numFmtId="0" fontId="11" fillId="14" borderId="73" xfId="9" applyBorder="1" applyProtection="1">
      <protection locked="0"/>
    </xf>
    <xf numFmtId="0" fontId="11" fillId="14" borderId="7" xfId="9" applyAlignment="1" applyProtection="1">
      <alignment horizontal="center"/>
      <protection locked="0"/>
    </xf>
    <xf numFmtId="14" fontId="11" fillId="14" borderId="7" xfId="9" applyNumberFormat="1" applyAlignment="1" applyProtection="1">
      <alignment horizontal="center"/>
      <protection locked="0"/>
    </xf>
    <xf numFmtId="166" fontId="11" fillId="14" borderId="7" xfId="9" applyNumberFormat="1" applyAlignment="1" applyProtection="1">
      <alignment horizontal="center"/>
      <protection locked="0"/>
    </xf>
    <xf numFmtId="14" fontId="11" fillId="14" borderId="85" xfId="9" applyNumberFormat="1" applyBorder="1" applyAlignment="1" applyProtection="1">
      <alignment horizontal="center"/>
      <protection locked="0"/>
    </xf>
    <xf numFmtId="166" fontId="11" fillId="14" borderId="85" xfId="9" applyNumberFormat="1" applyBorder="1" applyAlignment="1" applyProtection="1">
      <alignment horizontal="center"/>
      <protection locked="0"/>
    </xf>
    <xf numFmtId="0" fontId="11" fillId="14" borderId="75" xfId="9" applyBorder="1" applyAlignment="1" applyProtection="1">
      <alignment horizontal="center"/>
      <protection locked="0"/>
    </xf>
    <xf numFmtId="14" fontId="11" fillId="14" borderId="75" xfId="9" applyNumberFormat="1" applyBorder="1" applyAlignment="1" applyProtection="1">
      <alignment horizontal="center"/>
      <protection locked="0"/>
    </xf>
    <xf numFmtId="166" fontId="11" fillId="14" borderId="75" xfId="9" applyNumberFormat="1" applyBorder="1" applyAlignment="1" applyProtection="1">
      <alignment horizontal="center"/>
      <protection locked="0"/>
    </xf>
    <xf numFmtId="166" fontId="11" fillId="14" borderId="8" xfId="9" applyNumberFormat="1" applyBorder="1" applyAlignment="1" applyProtection="1">
      <alignment horizontal="center"/>
      <protection locked="0"/>
    </xf>
    <xf numFmtId="166" fontId="11" fillId="14" borderId="86" xfId="9" applyNumberFormat="1" applyBorder="1" applyAlignment="1" applyProtection="1">
      <alignment horizontal="center"/>
      <protection locked="0"/>
    </xf>
    <xf numFmtId="166" fontId="11" fillId="14" borderId="80" xfId="9" applyNumberFormat="1" applyBorder="1" applyAlignment="1" applyProtection="1">
      <alignment horizontal="center"/>
      <protection locked="0"/>
    </xf>
    <xf numFmtId="166" fontId="11" fillId="14" borderId="15" xfId="9" applyNumberFormat="1" applyBorder="1" applyAlignment="1" applyProtection="1">
      <alignment horizontal="center"/>
      <protection locked="0"/>
    </xf>
    <xf numFmtId="166" fontId="11" fillId="14" borderId="88" xfId="9" applyNumberFormat="1" applyBorder="1" applyAlignment="1" applyProtection="1">
      <alignment horizontal="center"/>
      <protection locked="0"/>
    </xf>
    <xf numFmtId="166" fontId="11" fillId="14" borderId="73" xfId="9" applyNumberFormat="1" applyBorder="1" applyAlignment="1" applyProtection="1">
      <alignment horizontal="center"/>
      <protection locked="0"/>
    </xf>
    <xf numFmtId="0" fontId="11" fillId="0" borderId="7" xfId="11" applyFont="1" applyBorder="1" applyAlignment="1">
      <alignment horizontal="center" wrapText="1"/>
    </xf>
    <xf numFmtId="10" fontId="11" fillId="14" borderId="71" xfId="9" applyNumberFormat="1" applyBorder="1" applyProtection="1">
      <protection locked="0"/>
    </xf>
    <xf numFmtId="10" fontId="11" fillId="14" borderId="15" xfId="9" applyNumberFormat="1" applyBorder="1" applyProtection="1">
      <protection locked="0"/>
    </xf>
    <xf numFmtId="0" fontId="11" fillId="14" borderId="1" xfId="9" applyBorder="1" applyProtection="1">
      <protection locked="0"/>
    </xf>
    <xf numFmtId="49" fontId="11" fillId="14" borderId="1" xfId="9" applyNumberFormat="1" applyBorder="1" applyProtection="1">
      <protection locked="0"/>
    </xf>
    <xf numFmtId="0" fontId="11" fillId="14" borderId="8" xfId="9" applyBorder="1" applyAlignment="1" applyProtection="1">
      <alignment horizontal="center"/>
      <protection locked="0"/>
    </xf>
    <xf numFmtId="0" fontId="11" fillId="14" borderId="83" xfId="9" applyBorder="1" applyAlignment="1" applyProtection="1">
      <alignment horizontal="center"/>
      <protection locked="0"/>
    </xf>
    <xf numFmtId="0" fontId="11" fillId="14" borderId="9" xfId="9" applyBorder="1" applyAlignment="1" applyProtection="1">
      <alignment horizontal="center"/>
      <protection locked="0"/>
    </xf>
    <xf numFmtId="0" fontId="11" fillId="14" borderId="79" xfId="9" applyBorder="1" applyAlignment="1" applyProtection="1">
      <alignment horizontal="center"/>
      <protection locked="0"/>
    </xf>
    <xf numFmtId="10" fontId="11" fillId="14" borderId="79" xfId="9" applyNumberFormat="1" applyBorder="1" applyAlignment="1" applyProtection="1">
      <alignment horizontal="center"/>
      <protection locked="0"/>
    </xf>
    <xf numFmtId="10" fontId="11" fillId="14" borderId="9" xfId="9" applyNumberFormat="1" applyBorder="1" applyAlignment="1" applyProtection="1">
      <alignment horizontal="center"/>
      <protection locked="0"/>
    </xf>
    <xf numFmtId="0" fontId="11" fillId="14" borderId="84" xfId="9" applyBorder="1" applyAlignment="1" applyProtection="1">
      <alignment horizontal="center"/>
      <protection locked="0"/>
    </xf>
    <xf numFmtId="0" fontId="11" fillId="14" borderId="71" xfId="9" applyBorder="1" applyAlignment="1" applyProtection="1">
      <alignment horizontal="center"/>
      <protection locked="0"/>
    </xf>
    <xf numFmtId="0" fontId="11" fillId="14" borderId="15" xfId="9" applyBorder="1" applyAlignment="1" applyProtection="1">
      <alignment horizontal="center"/>
      <protection locked="0"/>
    </xf>
    <xf numFmtId="10" fontId="11" fillId="14" borderId="8" xfId="9" applyNumberFormat="1" applyBorder="1" applyProtection="1">
      <protection locked="0"/>
    </xf>
    <xf numFmtId="10" fontId="11" fillId="14" borderId="86" xfId="9" applyNumberFormat="1" applyBorder="1" applyProtection="1">
      <protection locked="0"/>
    </xf>
    <xf numFmtId="10" fontId="11" fillId="14" borderId="87" xfId="9" applyNumberFormat="1" applyBorder="1" applyProtection="1">
      <protection locked="0"/>
    </xf>
    <xf numFmtId="10" fontId="11" fillId="14" borderId="88" xfId="9" applyNumberFormat="1" applyBorder="1" applyProtection="1">
      <protection locked="0"/>
    </xf>
    <xf numFmtId="10" fontId="11" fillId="14" borderId="113" xfId="9" applyNumberFormat="1" applyBorder="1" applyProtection="1">
      <protection locked="0"/>
    </xf>
    <xf numFmtId="0" fontId="11" fillId="14" borderId="101" xfId="9" applyBorder="1" applyAlignment="1" applyProtection="1">
      <alignment horizontal="center"/>
      <protection locked="0"/>
    </xf>
    <xf numFmtId="10" fontId="11" fillId="14" borderId="101" xfId="9" applyNumberFormat="1" applyBorder="1" applyProtection="1">
      <protection locked="0"/>
    </xf>
    <xf numFmtId="10" fontId="11" fillId="14" borderId="110" xfId="9" applyNumberFormat="1" applyBorder="1" applyProtection="1">
      <protection locked="0"/>
    </xf>
    <xf numFmtId="10" fontId="11" fillId="14" borderId="112" xfId="9" applyNumberFormat="1" applyBorder="1" applyProtection="1">
      <protection locked="0"/>
    </xf>
    <xf numFmtId="10" fontId="11" fillId="14" borderId="85" xfId="9" applyNumberFormat="1" applyBorder="1" applyAlignment="1" applyProtection="1">
      <alignment horizontal="center"/>
      <protection locked="0"/>
    </xf>
    <xf numFmtId="10" fontId="11" fillId="14" borderId="86" xfId="9" applyNumberFormat="1" applyBorder="1" applyAlignment="1" applyProtection="1">
      <alignment horizontal="center"/>
      <protection locked="0"/>
    </xf>
    <xf numFmtId="10" fontId="11" fillId="14" borderId="88" xfId="9" applyNumberFormat="1" applyBorder="1" applyAlignment="1" applyProtection="1">
      <alignment horizontal="center"/>
      <protection locked="0"/>
    </xf>
    <xf numFmtId="0" fontId="11" fillId="14" borderId="82" xfId="9" applyBorder="1" applyProtection="1">
      <protection locked="0"/>
    </xf>
    <xf numFmtId="10" fontId="11" fillId="14" borderId="17" xfId="9" applyNumberFormat="1" applyBorder="1" applyAlignment="1" applyProtection="1">
      <alignment horizontal="center"/>
      <protection locked="0"/>
    </xf>
    <xf numFmtId="0" fontId="11" fillId="14" borderId="40" xfId="15" applyNumberFormat="1" applyFont="1" applyFill="1" applyBorder="1" applyAlignment="1" applyProtection="1">
      <alignment horizontal="center"/>
      <protection locked="0"/>
    </xf>
    <xf numFmtId="0" fontId="11" fillId="14" borderId="14" xfId="15" applyNumberFormat="1" applyFont="1" applyFill="1" applyBorder="1" applyAlignment="1" applyProtection="1">
      <alignment horizontal="center"/>
      <protection locked="0"/>
    </xf>
    <xf numFmtId="0" fontId="11" fillId="14" borderId="18" xfId="15" applyNumberFormat="1" applyFont="1" applyFill="1" applyBorder="1" applyAlignment="1" applyProtection="1">
      <alignment horizontal="center"/>
      <protection locked="0"/>
    </xf>
    <xf numFmtId="1" fontId="11" fillId="14" borderId="1" xfId="9" applyNumberFormat="1" applyBorder="1" applyAlignment="1" applyProtection="1">
      <alignment horizontal="center"/>
      <protection locked="0"/>
    </xf>
    <xf numFmtId="1" fontId="11" fillId="14" borderId="8" xfId="9" applyNumberFormat="1" applyBorder="1" applyAlignment="1" applyProtection="1">
      <alignment horizontal="center"/>
      <protection locked="0"/>
    </xf>
    <xf numFmtId="1" fontId="11" fillId="14" borderId="79" xfId="9" applyNumberFormat="1" applyBorder="1" applyAlignment="1" applyProtection="1">
      <alignment horizontal="center"/>
      <protection locked="0"/>
    </xf>
    <xf numFmtId="1" fontId="11" fillId="14" borderId="9" xfId="9" applyNumberFormat="1" applyBorder="1" applyAlignment="1" applyProtection="1">
      <alignment horizontal="center"/>
      <protection locked="0"/>
    </xf>
    <xf numFmtId="10" fontId="11" fillId="14" borderId="111" xfId="9" applyNumberFormat="1" applyBorder="1" applyProtection="1">
      <protection locked="0"/>
    </xf>
    <xf numFmtId="1" fontId="11" fillId="14" borderId="85" xfId="9" applyNumberFormat="1" applyBorder="1" applyAlignment="1" applyProtection="1">
      <alignment horizontal="center"/>
      <protection locked="0"/>
    </xf>
    <xf numFmtId="1" fontId="11" fillId="14" borderId="87" xfId="9" applyNumberFormat="1" applyBorder="1" applyAlignment="1" applyProtection="1">
      <alignment horizontal="center"/>
      <protection locked="0"/>
    </xf>
    <xf numFmtId="1" fontId="11" fillId="14" borderId="78" xfId="9" applyNumberFormat="1" applyBorder="1" applyAlignment="1" applyProtection="1">
      <alignment horizontal="center"/>
      <protection locked="0"/>
    </xf>
    <xf numFmtId="1" fontId="11" fillId="14" borderId="130" xfId="9" applyNumberFormat="1" applyBorder="1" applyAlignment="1" applyProtection="1">
      <alignment horizontal="center"/>
      <protection locked="0"/>
    </xf>
    <xf numFmtId="1" fontId="11" fillId="14" borderId="89" xfId="9" applyNumberFormat="1" applyBorder="1" applyAlignment="1" applyProtection="1">
      <alignment horizontal="center"/>
      <protection locked="0"/>
    </xf>
    <xf numFmtId="1" fontId="11" fillId="14" borderId="7" xfId="9" applyNumberFormat="1" applyAlignment="1" applyProtection="1">
      <alignment wrapText="1"/>
      <protection locked="0"/>
    </xf>
    <xf numFmtId="0" fontId="11" fillId="14" borderId="71" xfId="9" applyBorder="1" applyAlignment="1" applyProtection="1">
      <alignment horizontal="center" wrapText="1"/>
      <protection locked="0"/>
    </xf>
    <xf numFmtId="0" fontId="11" fillId="14" borderId="15" xfId="9" applyBorder="1" applyAlignment="1" applyProtection="1">
      <alignment horizontal="center" wrapText="1"/>
      <protection locked="0"/>
    </xf>
    <xf numFmtId="0" fontId="11" fillId="14" borderId="72" xfId="9" applyBorder="1" applyAlignment="1" applyProtection="1">
      <alignment horizontal="center"/>
      <protection locked="0"/>
    </xf>
    <xf numFmtId="0" fontId="11" fillId="14" borderId="73" xfId="9" applyBorder="1" applyAlignment="1" applyProtection="1">
      <alignment horizontal="center"/>
      <protection locked="0"/>
    </xf>
    <xf numFmtId="1" fontId="11" fillId="14" borderId="7" xfId="9" applyNumberFormat="1" applyProtection="1">
      <protection locked="0"/>
    </xf>
    <xf numFmtId="1" fontId="11" fillId="14" borderId="75" xfId="9" applyNumberFormat="1" applyBorder="1" applyProtection="1">
      <protection locked="0"/>
    </xf>
    <xf numFmtId="14" fontId="11" fillId="14" borderId="75" xfId="9" applyNumberFormat="1" applyBorder="1" applyProtection="1">
      <protection locked="0"/>
    </xf>
    <xf numFmtId="14" fontId="11" fillId="14" borderId="7" xfId="9" applyNumberFormat="1" applyAlignment="1" applyProtection="1">
      <alignment wrapText="1"/>
      <protection locked="0"/>
    </xf>
    <xf numFmtId="0" fontId="11" fillId="14" borderId="13" xfId="9" applyBorder="1" applyProtection="1">
      <protection locked="0"/>
    </xf>
    <xf numFmtId="14" fontId="11" fillId="14" borderId="1" xfId="9" applyNumberFormat="1" applyBorder="1" applyProtection="1">
      <protection locked="0"/>
    </xf>
    <xf numFmtId="14" fontId="11" fillId="14" borderId="14" xfId="9" applyNumberFormat="1" applyBorder="1" applyProtection="1">
      <protection locked="0"/>
    </xf>
    <xf numFmtId="0" fontId="11" fillId="14" borderId="72" xfId="9" applyBorder="1" applyProtection="1">
      <protection locked="0"/>
    </xf>
    <xf numFmtId="0" fontId="11" fillId="14" borderId="75" xfId="9" applyBorder="1" applyAlignment="1" applyProtection="1">
      <alignment wrapText="1"/>
      <protection locked="0"/>
    </xf>
    <xf numFmtId="14" fontId="11" fillId="14" borderId="73" xfId="9" applyNumberFormat="1" applyBorder="1" applyProtection="1">
      <protection locked="0"/>
    </xf>
    <xf numFmtId="3" fontId="11" fillId="14" borderId="14" xfId="9" applyNumberFormat="1" applyBorder="1" applyProtection="1">
      <protection locked="0"/>
    </xf>
    <xf numFmtId="1" fontId="11" fillId="14" borderId="14" xfId="9" applyNumberFormat="1" applyBorder="1" applyProtection="1">
      <protection locked="0"/>
    </xf>
    <xf numFmtId="3" fontId="11" fillId="14" borderId="40" xfId="9" applyNumberFormat="1" applyBorder="1" applyAlignment="1" applyProtection="1">
      <alignment horizontal="center"/>
      <protection locked="0"/>
    </xf>
    <xf numFmtId="0" fontId="1" fillId="0" borderId="40" xfId="11" applyFont="1" applyBorder="1" applyAlignment="1">
      <alignment horizontal="center"/>
    </xf>
    <xf numFmtId="0" fontId="1" fillId="0" borderId="39" xfId="11" applyFont="1" applyBorder="1" applyAlignment="1">
      <alignment horizontal="center"/>
    </xf>
    <xf numFmtId="0" fontId="11" fillId="0" borderId="17" xfId="11" applyFont="1" applyBorder="1" applyAlignment="1">
      <alignment horizontal="center"/>
    </xf>
    <xf numFmtId="0" fontId="44" fillId="0" borderId="0" xfId="3" applyProtection="1">
      <alignment horizontal="left"/>
    </xf>
    <xf numFmtId="0" fontId="15" fillId="12" borderId="0" xfId="4" applyAlignment="1" applyProtection="1">
      <alignment horizontal="center"/>
    </xf>
    <xf numFmtId="0" fontId="40" fillId="0" borderId="1" xfId="5" applyBorder="1" applyAlignment="1" applyProtection="1">
      <alignment horizontal="right"/>
    </xf>
    <xf numFmtId="0" fontId="40" fillId="0" borderId="1" xfId="5" applyBorder="1" applyProtection="1"/>
    <xf numFmtId="0" fontId="40" fillId="0" borderId="55" xfId="5" applyBorder="1" applyAlignment="1" applyProtection="1">
      <alignment horizontal="right"/>
    </xf>
    <xf numFmtId="0" fontId="40" fillId="0" borderId="55" xfId="5" applyBorder="1" applyProtection="1"/>
    <xf numFmtId="3" fontId="11" fillId="14" borderId="35" xfId="9" applyNumberFormat="1" applyBorder="1" applyAlignment="1" applyProtection="1">
      <protection locked="0"/>
    </xf>
    <xf numFmtId="3" fontId="11" fillId="14" borderId="1" xfId="9" applyNumberFormat="1" applyBorder="1" applyAlignment="1" applyProtection="1">
      <protection locked="0"/>
    </xf>
    <xf numFmtId="168" fontId="11" fillId="14" borderId="17" xfId="9" applyNumberFormat="1" applyBorder="1" applyAlignment="1" applyProtection="1">
      <protection locked="0"/>
    </xf>
    <xf numFmtId="3" fontId="11" fillId="14" borderId="14" xfId="9" applyNumberFormat="1" applyBorder="1" applyAlignment="1" applyProtection="1">
      <protection locked="0"/>
    </xf>
    <xf numFmtId="168" fontId="11" fillId="14" borderId="18" xfId="9" applyNumberFormat="1" applyBorder="1" applyAlignment="1" applyProtection="1">
      <protection locked="0"/>
    </xf>
    <xf numFmtId="1" fontId="11" fillId="14" borderId="1" xfId="9" applyNumberFormat="1" applyBorder="1" applyProtection="1">
      <protection locked="0"/>
    </xf>
    <xf numFmtId="10" fontId="11" fillId="14" borderId="2" xfId="9" applyNumberFormat="1" applyBorder="1" applyAlignment="1" applyProtection="1">
      <alignment horizontal="center"/>
      <protection locked="0"/>
    </xf>
    <xf numFmtId="10" fontId="11" fillId="14" borderId="61" xfId="9" applyNumberFormat="1" applyBorder="1" applyAlignment="1" applyProtection="1">
      <alignment horizontal="center"/>
      <protection locked="0"/>
    </xf>
    <xf numFmtId="10" fontId="11" fillId="14" borderId="77" xfId="9" applyNumberFormat="1" applyBorder="1" applyAlignment="1" applyProtection="1">
      <alignment horizontal="center"/>
      <protection locked="0"/>
    </xf>
    <xf numFmtId="3" fontId="3" fillId="0" borderId="2" xfId="11" applyNumberFormat="1" applyFont="1" applyBorder="1" applyAlignment="1">
      <alignment horizontal="center"/>
    </xf>
    <xf numFmtId="0" fontId="1" fillId="0" borderId="32" xfId="0" applyFont="1" applyBorder="1" applyAlignment="1">
      <alignment wrapText="1"/>
    </xf>
    <xf numFmtId="0" fontId="0" fillId="0" borderId="32" xfId="0" applyBorder="1" applyAlignment="1">
      <alignment wrapText="1"/>
    </xf>
    <xf numFmtId="0" fontId="0" fillId="0" borderId="23" xfId="0" applyBorder="1" applyAlignment="1">
      <alignment wrapText="1"/>
    </xf>
    <xf numFmtId="0" fontId="1" fillId="0" borderId="36" xfId="11" applyFont="1" applyBorder="1" applyAlignment="1">
      <alignment horizontal="center"/>
    </xf>
    <xf numFmtId="0" fontId="0" fillId="9" borderId="39" xfId="0" applyFill="1" applyBorder="1"/>
    <xf numFmtId="0" fontId="0" fillId="9" borderId="40" xfId="0" applyFill="1" applyBorder="1"/>
    <xf numFmtId="0" fontId="16" fillId="0" borderId="35" xfId="0" applyFont="1" applyBorder="1" applyAlignment="1">
      <alignment horizontal="left" wrapText="1" indent="2"/>
    </xf>
    <xf numFmtId="3" fontId="16" fillId="0" borderId="1" xfId="0" applyNumberFormat="1" applyFont="1" applyBorder="1" applyAlignment="1">
      <alignment horizontal="left" wrapText="1" indent="1"/>
    </xf>
    <xf numFmtId="3" fontId="16" fillId="0" borderId="1" xfId="0" applyNumberFormat="1" applyFont="1" applyBorder="1" applyAlignment="1">
      <alignment horizontal="left" indent="1"/>
    </xf>
    <xf numFmtId="0" fontId="5" fillId="0" borderId="58" xfId="11" applyFont="1" applyBorder="1" applyAlignment="1">
      <alignment horizontal="center"/>
    </xf>
    <xf numFmtId="0" fontId="0" fillId="0" borderId="53" xfId="0" applyBorder="1"/>
    <xf numFmtId="0" fontId="47" fillId="0" borderId="0" xfId="0" applyFont="1" applyAlignment="1">
      <alignment vertical="center"/>
    </xf>
    <xf numFmtId="164" fontId="16" fillId="0" borderId="1" xfId="0" applyNumberFormat="1" applyFont="1" applyBorder="1" applyAlignment="1">
      <alignment wrapText="1"/>
    </xf>
    <xf numFmtId="164" fontId="16" fillId="0" borderId="55" xfId="0" applyNumberFormat="1" applyFont="1" applyBorder="1" applyAlignment="1">
      <alignment wrapText="1"/>
    </xf>
    <xf numFmtId="164" fontId="16" fillId="0" borderId="35" xfId="0" applyNumberFormat="1" applyFont="1" applyBorder="1" applyAlignment="1">
      <alignment wrapText="1"/>
    </xf>
    <xf numFmtId="3" fontId="1" fillId="0" borderId="59" xfId="11" applyNumberFormat="1" applyFont="1" applyBorder="1" applyAlignment="1">
      <alignment horizontal="left"/>
    </xf>
    <xf numFmtId="9" fontId="40" fillId="0" borderId="1" xfId="13" applyBorder="1"/>
    <xf numFmtId="0" fontId="0" fillId="0" borderId="2" xfId="11" applyFont="1" applyBorder="1" applyAlignment="1">
      <alignment horizontal="right"/>
    </xf>
    <xf numFmtId="1" fontId="11" fillId="14" borderId="14" xfId="9" applyNumberFormat="1" applyBorder="1" applyAlignment="1" applyProtection="1">
      <alignment horizontal="center"/>
      <protection locked="0"/>
    </xf>
    <xf numFmtId="0" fontId="1" fillId="0" borderId="2" xfId="11" applyFont="1" applyBorder="1" applyAlignment="1">
      <alignment horizontal="center"/>
    </xf>
    <xf numFmtId="0" fontId="0" fillId="9" borderId="3" xfId="0" applyFill="1" applyBorder="1" applyAlignment="1">
      <alignment horizontal="center"/>
    </xf>
    <xf numFmtId="10" fontId="11" fillId="0" borderId="9" xfId="11" applyNumberFormat="1" applyFont="1" applyBorder="1"/>
    <xf numFmtId="10" fontId="11" fillId="0" borderId="81" xfId="11" applyNumberFormat="1" applyFont="1" applyBorder="1"/>
    <xf numFmtId="10" fontId="11" fillId="14" borderId="1" xfId="9" applyNumberFormat="1" applyBorder="1" applyProtection="1">
      <protection locked="0"/>
    </xf>
    <xf numFmtId="0" fontId="1" fillId="0" borderId="25" xfId="0" applyFont="1" applyBorder="1"/>
    <xf numFmtId="0" fontId="0" fillId="0" borderId="50" xfId="0" applyBorder="1" applyAlignment="1">
      <alignment wrapText="1"/>
    </xf>
    <xf numFmtId="10" fontId="11" fillId="14" borderId="14" xfId="9" applyNumberFormat="1" applyBorder="1" applyProtection="1">
      <protection locked="0"/>
    </xf>
    <xf numFmtId="10" fontId="11" fillId="14" borderId="17" xfId="9" applyNumberFormat="1" applyBorder="1" applyProtection="1">
      <protection locked="0"/>
    </xf>
    <xf numFmtId="10" fontId="11" fillId="14" borderId="18" xfId="9" applyNumberFormat="1" applyBorder="1" applyProtection="1">
      <protection locked="0"/>
    </xf>
    <xf numFmtId="10" fontId="11" fillId="14" borderId="4" xfId="9" applyNumberFormat="1" applyBorder="1" applyProtection="1">
      <protection locked="0"/>
    </xf>
    <xf numFmtId="10" fontId="11" fillId="14" borderId="44" xfId="9" applyNumberFormat="1" applyBorder="1" applyProtection="1">
      <protection locked="0"/>
    </xf>
    <xf numFmtId="10" fontId="11" fillId="14" borderId="13" xfId="9" applyNumberFormat="1" applyBorder="1" applyProtection="1">
      <protection locked="0"/>
    </xf>
    <xf numFmtId="10" fontId="11" fillId="14" borderId="16" xfId="9" applyNumberFormat="1" applyBorder="1" applyProtection="1">
      <protection locked="0"/>
    </xf>
    <xf numFmtId="0" fontId="5" fillId="0" borderId="42" xfId="11" applyFont="1" applyBorder="1" applyAlignment="1">
      <alignment horizontal="center"/>
    </xf>
    <xf numFmtId="1" fontId="0" fillId="0" borderId="59" xfId="11" applyNumberFormat="1" applyFont="1" applyBorder="1" applyAlignment="1">
      <alignment horizontal="center"/>
    </xf>
    <xf numFmtId="1" fontId="11" fillId="14" borderId="57" xfId="9" applyNumberFormat="1" applyBorder="1" applyAlignment="1" applyProtection="1">
      <alignment horizontal="center"/>
      <protection locked="0"/>
    </xf>
    <xf numFmtId="1" fontId="11" fillId="14" borderId="28" xfId="9" applyNumberFormat="1" applyBorder="1" applyAlignment="1" applyProtection="1">
      <alignment horizontal="center"/>
      <protection locked="0"/>
    </xf>
    <xf numFmtId="1" fontId="11" fillId="14" borderId="18" xfId="9" applyNumberFormat="1" applyBorder="1" applyAlignment="1" applyProtection="1">
      <alignment horizontal="center"/>
      <protection locked="0"/>
    </xf>
    <xf numFmtId="1" fontId="11" fillId="14" borderId="27" xfId="9" applyNumberFormat="1" applyBorder="1" applyAlignment="1" applyProtection="1">
      <alignment horizontal="center"/>
      <protection locked="0"/>
    </xf>
    <xf numFmtId="1" fontId="11" fillId="14" borderId="13" xfId="9" applyNumberFormat="1" applyBorder="1" applyAlignment="1" applyProtection="1">
      <alignment horizontal="center"/>
      <protection locked="0"/>
    </xf>
    <xf numFmtId="1" fontId="11" fillId="14" borderId="56" xfId="9" applyNumberFormat="1" applyBorder="1" applyAlignment="1" applyProtection="1">
      <alignment horizontal="center"/>
      <protection locked="0"/>
    </xf>
    <xf numFmtId="1" fontId="11" fillId="14" borderId="16" xfId="9" applyNumberFormat="1" applyBorder="1" applyAlignment="1" applyProtection="1">
      <alignment horizontal="center"/>
      <protection locked="0"/>
    </xf>
    <xf numFmtId="49" fontId="11" fillId="14" borderId="1" xfId="9" applyNumberFormat="1" applyBorder="1" applyAlignment="1" applyProtection="1">
      <alignment horizontal="center"/>
      <protection locked="0"/>
    </xf>
    <xf numFmtId="49" fontId="11" fillId="14" borderId="4" xfId="9" applyNumberFormat="1" applyBorder="1" applyAlignment="1" applyProtection="1">
      <alignment horizontal="center"/>
      <protection locked="0"/>
    </xf>
    <xf numFmtId="49" fontId="11" fillId="14" borderId="13" xfId="9" applyNumberFormat="1" applyBorder="1" applyAlignment="1" applyProtection="1">
      <alignment horizontal="center"/>
      <protection locked="0"/>
    </xf>
    <xf numFmtId="49" fontId="11" fillId="14" borderId="14" xfId="9" applyNumberFormat="1" applyBorder="1" applyAlignment="1" applyProtection="1">
      <alignment horizontal="center"/>
      <protection locked="0"/>
    </xf>
    <xf numFmtId="1" fontId="0" fillId="0" borderId="0" xfId="11" applyNumberFormat="1" applyFont="1" applyBorder="1" applyAlignment="1">
      <alignment horizontal="center" wrapText="1"/>
    </xf>
    <xf numFmtId="1" fontId="0" fillId="0" borderId="77" xfId="0" applyNumberFormat="1" applyBorder="1" applyAlignment="1">
      <alignment horizontal="center"/>
    </xf>
    <xf numFmtId="0" fontId="0" fillId="0" borderId="146" xfId="0" applyBorder="1" applyAlignment="1">
      <alignment wrapText="1"/>
    </xf>
    <xf numFmtId="0" fontId="0" fillId="0" borderId="34" xfId="0" applyBorder="1" applyAlignment="1">
      <alignment wrapText="1"/>
    </xf>
    <xf numFmtId="0" fontId="0" fillId="0" borderId="24" xfId="0" applyBorder="1" applyAlignment="1">
      <alignment wrapText="1"/>
    </xf>
    <xf numFmtId="3" fontId="11" fillId="14" borderId="57" xfId="9" applyNumberFormat="1" applyBorder="1" applyAlignment="1" applyProtection="1">
      <alignment horizontal="center"/>
      <protection locked="0"/>
    </xf>
    <xf numFmtId="0" fontId="48" fillId="14" borderId="7" xfId="9" applyFont="1" applyAlignment="1" applyProtection="1">
      <alignment horizontal="left" indent="2"/>
      <protection locked="0"/>
    </xf>
    <xf numFmtId="0" fontId="7" fillId="0" borderId="0" xfId="0" applyFont="1" applyAlignment="1">
      <alignment horizontal="left" vertical="center"/>
    </xf>
    <xf numFmtId="0" fontId="1" fillId="0" borderId="0" xfId="0" applyFont="1" applyAlignment="1">
      <alignment horizontal="center"/>
    </xf>
    <xf numFmtId="0" fontId="5" fillId="0" borderId="131" xfId="11" applyFont="1" applyBorder="1" applyAlignment="1">
      <alignment horizontal="center" wrapText="1"/>
    </xf>
    <xf numFmtId="0" fontId="13" fillId="16" borderId="0" xfId="11" applyFont="1" applyFill="1" applyBorder="1" applyAlignment="1">
      <alignment horizontal="right"/>
    </xf>
    <xf numFmtId="0" fontId="13" fillId="16" borderId="135" xfId="11" applyFont="1" applyFill="1" applyBorder="1" applyAlignment="1">
      <alignment horizontal="right"/>
    </xf>
    <xf numFmtId="0" fontId="13" fillId="0" borderId="0" xfId="12" applyAlignment="1">
      <alignment horizontal="center"/>
    </xf>
    <xf numFmtId="0" fontId="42" fillId="0" borderId="0" xfId="8" applyAlignment="1">
      <alignment horizontal="left"/>
    </xf>
    <xf numFmtId="0" fontId="1" fillId="0" borderId="41" xfId="7" applyBorder="1">
      <alignment horizontal="left" wrapText="1"/>
    </xf>
    <xf numFmtId="0" fontId="1" fillId="0" borderId="13" xfId="7" applyBorder="1">
      <alignment horizontal="left" wrapText="1"/>
    </xf>
    <xf numFmtId="0" fontId="1" fillId="0" borderId="1" xfId="7">
      <alignment horizontal="left" wrapText="1"/>
    </xf>
    <xf numFmtId="49" fontId="16" fillId="0" borderId="0" xfId="0" applyNumberFormat="1" applyFont="1" applyAlignment="1">
      <alignment horizontal="left" wrapText="1" indent="2"/>
    </xf>
    <xf numFmtId="49" fontId="1" fillId="0" borderId="1" xfId="7" applyNumberFormat="1">
      <alignment horizontal="left" wrapText="1"/>
    </xf>
    <xf numFmtId="164" fontId="0" fillId="0" borderId="65" xfId="0" applyNumberFormat="1" applyBorder="1" applyAlignment="1">
      <alignment horizontal="right"/>
    </xf>
    <xf numFmtId="164" fontId="0" fillId="0" borderId="49" xfId="0" applyNumberFormat="1" applyBorder="1" applyAlignment="1">
      <alignment horizontal="right"/>
    </xf>
    <xf numFmtId="1" fontId="0" fillId="0" borderId="1" xfId="0" applyNumberFormat="1" applyBorder="1" applyAlignment="1">
      <alignment horizontal="center"/>
    </xf>
    <xf numFmtId="1" fontId="0" fillId="0" borderId="13" xfId="0" applyNumberFormat="1" applyBorder="1" applyAlignment="1">
      <alignment horizontal="center"/>
    </xf>
    <xf numFmtId="1" fontId="0" fillId="0" borderId="14" xfId="0" applyNumberFormat="1" applyBorder="1" applyAlignment="1">
      <alignment horizontal="center"/>
    </xf>
    <xf numFmtId="10" fontId="11" fillId="14" borderId="1" xfId="9" applyNumberFormat="1" applyBorder="1" applyAlignment="1" applyProtection="1">
      <alignment horizontal="center"/>
      <protection locked="0"/>
    </xf>
    <xf numFmtId="10" fontId="11" fillId="14" borderId="4" xfId="9" applyNumberFormat="1" applyBorder="1" applyAlignment="1" applyProtection="1">
      <alignment horizontal="center"/>
      <protection locked="0"/>
    </xf>
    <xf numFmtId="0" fontId="15" fillId="12" borderId="1" xfId="4" applyBorder="1" applyAlignment="1">
      <alignment horizontal="center"/>
    </xf>
    <xf numFmtId="0" fontId="0" fillId="0" borderId="13" xfId="0" applyBorder="1" applyAlignment="1">
      <alignment horizontal="center"/>
    </xf>
    <xf numFmtId="0" fontId="15" fillId="12" borderId="52" xfId="4" applyBorder="1" applyAlignment="1">
      <alignment horizontal="center"/>
    </xf>
    <xf numFmtId="0" fontId="15" fillId="12" borderId="63" xfId="4" applyBorder="1" applyAlignment="1">
      <alignment horizontal="center"/>
    </xf>
    <xf numFmtId="0" fontId="15" fillId="12" borderId="33" xfId="4" applyBorder="1" applyAlignment="1">
      <alignment horizontal="center"/>
    </xf>
    <xf numFmtId="0" fontId="15" fillId="12" borderId="28" xfId="4" applyBorder="1" applyAlignment="1">
      <alignment horizontal="center"/>
    </xf>
    <xf numFmtId="3" fontId="3" fillId="0" borderId="4" xfId="6" applyNumberFormat="1" applyFill="1" applyBorder="1">
      <alignment horizontal="center"/>
    </xf>
    <xf numFmtId="3" fontId="3" fillId="0" borderId="2" xfId="6" applyNumberFormat="1" applyFill="1" applyBorder="1">
      <alignment horizontal="center"/>
    </xf>
    <xf numFmtId="10" fontId="11" fillId="14" borderId="7" xfId="9" applyNumberFormat="1" applyAlignment="1" applyProtection="1">
      <alignment horizontal="center"/>
      <protection locked="0"/>
    </xf>
    <xf numFmtId="10" fontId="11" fillId="14" borderId="15" xfId="9" applyNumberFormat="1" applyBorder="1" applyAlignment="1" applyProtection="1">
      <alignment horizontal="center"/>
      <protection locked="0"/>
    </xf>
    <xf numFmtId="0" fontId="0" fillId="0" borderId="44" xfId="0" applyBorder="1" applyAlignment="1">
      <alignment horizontal="center"/>
    </xf>
    <xf numFmtId="1" fontId="11" fillId="14" borderId="71" xfId="9" applyNumberFormat="1" applyBorder="1" applyAlignment="1" applyProtection="1">
      <alignment horizontal="center"/>
      <protection locked="0"/>
    </xf>
    <xf numFmtId="1" fontId="11" fillId="14" borderId="7" xfId="9" applyNumberFormat="1" applyAlignment="1" applyProtection="1">
      <alignment horizontal="center"/>
      <protection locked="0"/>
    </xf>
    <xf numFmtId="0" fontId="0" fillId="0" borderId="39" xfId="11" applyFont="1" applyBorder="1" applyAlignment="1">
      <alignment horizontal="center"/>
    </xf>
    <xf numFmtId="0" fontId="0" fillId="0" borderId="35" xfId="11" applyFont="1" applyBorder="1" applyAlignment="1">
      <alignment horizontal="center"/>
    </xf>
    <xf numFmtId="0" fontId="0" fillId="0" borderId="40" xfId="11" applyFont="1" applyBorder="1" applyAlignment="1">
      <alignment horizontal="center"/>
    </xf>
    <xf numFmtId="1" fontId="11" fillId="14" borderId="75" xfId="9" applyNumberFormat="1" applyBorder="1" applyAlignment="1" applyProtection="1">
      <alignment horizontal="center"/>
      <protection locked="0"/>
    </xf>
    <xf numFmtId="10" fontId="0" fillId="0" borderId="0" xfId="11" applyNumberFormat="1" applyFont="1" applyBorder="1" applyAlignment="1">
      <alignment horizontal="center"/>
    </xf>
    <xf numFmtId="10" fontId="11" fillId="14" borderId="8" xfId="9" applyNumberFormat="1" applyBorder="1" applyAlignment="1" applyProtection="1">
      <alignment horizontal="center"/>
      <protection locked="0"/>
    </xf>
    <xf numFmtId="3" fontId="3" fillId="0" borderId="28" xfId="6" applyNumberFormat="1" applyFill="1" applyBorder="1">
      <alignment horizontal="center"/>
    </xf>
    <xf numFmtId="0" fontId="1" fillId="0" borderId="13" xfId="0" applyFont="1" applyBorder="1" applyAlignment="1">
      <alignment horizontal="center"/>
    </xf>
    <xf numFmtId="0" fontId="1" fillId="0" borderId="1" xfId="0" applyFont="1" applyBorder="1" applyAlignment="1">
      <alignment horizontal="center"/>
    </xf>
    <xf numFmtId="0" fontId="1" fillId="0" borderId="14" xfId="0" applyFont="1" applyBorder="1" applyAlignment="1">
      <alignment horizontal="center"/>
    </xf>
    <xf numFmtId="0" fontId="14" fillId="0" borderId="0" xfId="0" applyFont="1" applyAlignment="1">
      <alignment horizontal="left"/>
    </xf>
    <xf numFmtId="0" fontId="1" fillId="0" borderId="4" xfId="0" applyFont="1" applyBorder="1" applyAlignment="1">
      <alignment horizontal="center"/>
    </xf>
    <xf numFmtId="0" fontId="1" fillId="0" borderId="13" xfId="11" applyFont="1" applyBorder="1" applyAlignment="1">
      <alignment horizontal="center"/>
    </xf>
    <xf numFmtId="0" fontId="1" fillId="0" borderId="1" xfId="11" applyFont="1" applyBorder="1" applyAlignment="1">
      <alignment horizontal="center"/>
    </xf>
    <xf numFmtId="0" fontId="1" fillId="0" borderId="14" xfId="11" applyFont="1" applyBorder="1" applyAlignment="1">
      <alignment horizontal="center"/>
    </xf>
    <xf numFmtId="0" fontId="11" fillId="14" borderId="7" xfId="9" applyProtection="1">
      <protection locked="0"/>
    </xf>
    <xf numFmtId="0" fontId="1" fillId="0" borderId="1" xfId="11" applyFont="1" applyBorder="1" applyAlignment="1">
      <alignment horizontal="left"/>
    </xf>
    <xf numFmtId="0" fontId="9" fillId="0" borderId="14" xfId="0" applyFont="1" applyBorder="1" applyAlignment="1">
      <alignment horizontal="center" vertical="center" wrapText="1"/>
    </xf>
    <xf numFmtId="0" fontId="7" fillId="0" borderId="0" xfId="0" applyFont="1" applyAlignment="1">
      <alignment horizontal="center"/>
    </xf>
    <xf numFmtId="0" fontId="25" fillId="0" borderId="0" xfId="0" applyFont="1" applyAlignment="1">
      <alignment horizontal="left" vertical="center"/>
    </xf>
    <xf numFmtId="0" fontId="11" fillId="14" borderId="7" xfId="9" applyAlignment="1" applyProtection="1">
      <alignment horizontal="center" wrapText="1"/>
      <protection locked="0"/>
    </xf>
    <xf numFmtId="0" fontId="44" fillId="0" borderId="0" xfId="3">
      <alignment horizontal="left"/>
    </xf>
    <xf numFmtId="0" fontId="15" fillId="12" borderId="0" xfId="4" applyAlignment="1">
      <alignment horizontal="center"/>
    </xf>
    <xf numFmtId="0" fontId="40" fillId="0" borderId="1" xfId="5" applyBorder="1" applyAlignment="1">
      <alignment horizontal="right"/>
    </xf>
    <xf numFmtId="0" fontId="0" fillId="0" borderId="13" xfId="0" applyBorder="1" applyAlignment="1">
      <alignment horizontal="center" vertical="center"/>
    </xf>
    <xf numFmtId="0" fontId="21" fillId="0" borderId="0" xfId="0" applyFont="1" applyAlignment="1">
      <alignment horizontal="left" vertical="center" indent="3"/>
    </xf>
    <xf numFmtId="3" fontId="11" fillId="14" borderId="14" xfId="9" applyNumberFormat="1" applyBorder="1" applyAlignment="1" applyProtection="1">
      <alignment horizontal="center"/>
      <protection locked="0"/>
    </xf>
    <xf numFmtId="0" fontId="11" fillId="14" borderId="1" xfId="9" applyBorder="1" applyAlignment="1" applyProtection="1">
      <alignment horizontal="center"/>
      <protection locked="0"/>
    </xf>
    <xf numFmtId="0" fontId="11" fillId="14" borderId="14" xfId="9" applyBorder="1" applyAlignment="1" applyProtection="1">
      <alignment horizontal="center"/>
      <protection locked="0"/>
    </xf>
    <xf numFmtId="0" fontId="11" fillId="14" borderId="4" xfId="9" applyBorder="1" applyAlignment="1" applyProtection="1">
      <alignment horizontal="center"/>
      <protection locked="0"/>
    </xf>
    <xf numFmtId="0" fontId="11" fillId="14" borderId="13" xfId="9" applyBorder="1" applyAlignment="1" applyProtection="1">
      <alignment horizontal="center"/>
      <protection locked="0"/>
    </xf>
    <xf numFmtId="0" fontId="13" fillId="0" borderId="0" xfId="12" applyAlignment="1">
      <alignment horizontal="left"/>
    </xf>
    <xf numFmtId="0" fontId="0" fillId="0" borderId="1" xfId="0" applyBorder="1"/>
    <xf numFmtId="1" fontId="0" fillId="0" borderId="49" xfId="0" applyNumberFormat="1" applyBorder="1" applyAlignment="1">
      <alignment horizontal="center"/>
    </xf>
    <xf numFmtId="0" fontId="1" fillId="0" borderId="35" xfId="7" applyBorder="1">
      <alignment horizontal="left" wrapText="1"/>
    </xf>
    <xf numFmtId="0" fontId="1" fillId="0" borderId="33" xfId="7" applyBorder="1">
      <alignment horizontal="left" wrapText="1"/>
    </xf>
    <xf numFmtId="0" fontId="44" fillId="0" borderId="0" xfId="3" applyNumberFormat="1" applyBorder="1">
      <alignment horizontal="left"/>
    </xf>
    <xf numFmtId="0" fontId="1" fillId="0" borderId="55" xfId="0" applyFont="1" applyBorder="1" applyAlignment="1">
      <alignment horizontal="center"/>
    </xf>
    <xf numFmtId="0" fontId="1" fillId="0" borderId="35" xfId="0" applyFont="1" applyBorder="1" applyAlignment="1">
      <alignment horizontal="center"/>
    </xf>
    <xf numFmtId="0" fontId="1" fillId="0" borderId="4" xfId="7" applyBorder="1">
      <alignment horizontal="left" wrapText="1"/>
    </xf>
    <xf numFmtId="0" fontId="16" fillId="0" borderId="1" xfId="0" applyFont="1" applyBorder="1" applyAlignment="1">
      <alignment horizontal="left" wrapText="1" indent="2"/>
    </xf>
    <xf numFmtId="0" fontId="16" fillId="0" borderId="1" xfId="0" applyFont="1" applyBorder="1" applyAlignment="1">
      <alignment horizontal="left" indent="2"/>
    </xf>
    <xf numFmtId="10" fontId="11" fillId="14" borderId="127" xfId="9" applyNumberFormat="1" applyBorder="1" applyAlignment="1" applyProtection="1">
      <alignment horizontal="center"/>
      <protection locked="0"/>
    </xf>
    <xf numFmtId="10" fontId="11" fillId="14" borderId="147" xfId="9" applyNumberFormat="1" applyBorder="1" applyAlignment="1" applyProtection="1">
      <alignment horizontal="center"/>
      <protection locked="0"/>
    </xf>
    <xf numFmtId="10" fontId="11" fillId="14" borderId="148" xfId="9" applyNumberFormat="1" applyBorder="1" applyAlignment="1" applyProtection="1">
      <alignment horizontal="center"/>
      <protection locked="0"/>
    </xf>
    <xf numFmtId="3" fontId="3" fillId="0" borderId="63" xfId="11" applyNumberFormat="1" applyFont="1" applyBorder="1" applyAlignment="1">
      <alignment horizontal="center"/>
    </xf>
    <xf numFmtId="1" fontId="0" fillId="0" borderId="66" xfId="11" applyNumberFormat="1" applyFont="1" applyBorder="1" applyAlignment="1">
      <alignment horizontal="center" wrapText="1"/>
    </xf>
    <xf numFmtId="0" fontId="0" fillId="10" borderId="66" xfId="0" applyFill="1" applyBorder="1"/>
    <xf numFmtId="10" fontId="11" fillId="14" borderId="84" xfId="9" applyNumberFormat="1" applyBorder="1" applyAlignment="1" applyProtection="1">
      <alignment horizontal="center"/>
      <protection locked="0"/>
    </xf>
    <xf numFmtId="0" fontId="3" fillId="0" borderId="1" xfId="6" applyNumberFormat="1" applyBorder="1" applyAlignment="1">
      <alignment horizontal="left"/>
    </xf>
    <xf numFmtId="10" fontId="11" fillId="14" borderId="83" xfId="9" applyNumberFormat="1" applyBorder="1" applyAlignment="1" applyProtection="1">
      <alignment horizontal="center"/>
      <protection locked="0"/>
    </xf>
    <xf numFmtId="0" fontId="10" fillId="0" borderId="14" xfId="11" applyFont="1" applyBorder="1" applyAlignment="1">
      <alignment horizontal="right" vertical="center"/>
    </xf>
    <xf numFmtId="0" fontId="13" fillId="0" borderId="0" xfId="12" applyBorder="1" applyAlignment="1">
      <alignment horizontal="center"/>
    </xf>
    <xf numFmtId="0" fontId="0" fillId="0" borderId="20" xfId="11" applyFont="1" applyBorder="1" applyAlignment="1">
      <alignment horizontal="right"/>
    </xf>
    <xf numFmtId="168" fontId="11" fillId="14" borderId="55" xfId="9" applyNumberFormat="1" applyBorder="1" applyAlignment="1" applyProtection="1">
      <protection locked="0"/>
    </xf>
    <xf numFmtId="0" fontId="0" fillId="0" borderId="55" xfId="11" applyFont="1" applyBorder="1" applyAlignment="1">
      <alignment horizontal="right"/>
    </xf>
    <xf numFmtId="168" fontId="11" fillId="14" borderId="57" xfId="9" applyNumberFormat="1" applyBorder="1" applyAlignment="1" applyProtection="1">
      <protection locked="0"/>
    </xf>
    <xf numFmtId="1" fontId="11" fillId="14" borderId="39" xfId="9" applyNumberFormat="1" applyBorder="1" applyAlignment="1" applyProtection="1">
      <alignment horizontal="center"/>
      <protection locked="0"/>
    </xf>
    <xf numFmtId="1" fontId="11" fillId="14" borderId="40" xfId="9" applyNumberFormat="1" applyBorder="1" applyAlignment="1" applyProtection="1">
      <alignment horizontal="center"/>
      <protection locked="0"/>
    </xf>
    <xf numFmtId="1" fontId="11" fillId="14" borderId="35" xfId="9" applyNumberFormat="1" applyBorder="1" applyAlignment="1" applyProtection="1">
      <protection locked="0"/>
    </xf>
    <xf numFmtId="0" fontId="5" fillId="0" borderId="35" xfId="11" applyFont="1" applyBorder="1" applyAlignment="1">
      <alignment horizontal="right"/>
    </xf>
    <xf numFmtId="1" fontId="11" fillId="14" borderId="40" xfId="9" applyNumberFormat="1" applyBorder="1" applyAlignment="1" applyProtection="1">
      <protection locked="0"/>
    </xf>
    <xf numFmtId="0" fontId="5" fillId="0" borderId="54" xfId="11" applyFont="1" applyBorder="1" applyAlignment="1">
      <alignment horizontal="right"/>
    </xf>
    <xf numFmtId="1" fontId="11" fillId="14" borderId="33" xfId="9" applyNumberFormat="1" applyBorder="1" applyAlignment="1" applyProtection="1">
      <protection locked="0"/>
    </xf>
    <xf numFmtId="1" fontId="11" fillId="14" borderId="28" xfId="9" applyNumberFormat="1" applyBorder="1" applyAlignment="1" applyProtection="1">
      <protection locked="0"/>
    </xf>
    <xf numFmtId="0" fontId="8" fillId="0" borderId="27" xfId="0" applyFont="1" applyBorder="1" applyAlignment="1">
      <alignment horizontal="left" vertical="top" wrapText="1"/>
    </xf>
    <xf numFmtId="3" fontId="8" fillId="0" borderId="33" xfId="0" applyNumberFormat="1" applyFont="1" applyBorder="1"/>
    <xf numFmtId="0" fontId="1" fillId="0" borderId="1" xfId="7" applyAlignment="1">
      <alignment horizontal="left" vertical="top" wrapText="1"/>
    </xf>
    <xf numFmtId="0" fontId="0" fillId="0" borderId="1" xfId="0" applyBorder="1" applyAlignment="1">
      <alignment horizontal="left" indent="1"/>
    </xf>
    <xf numFmtId="0" fontId="43" fillId="0" borderId="1" xfId="0" applyFont="1" applyBorder="1" applyAlignment="1">
      <alignment horizontal="left" indent="4"/>
    </xf>
    <xf numFmtId="0" fontId="16" fillId="0" borderId="4" xfId="0" applyFont="1" applyBorder="1" applyAlignment="1">
      <alignment horizontal="left" indent="3"/>
    </xf>
    <xf numFmtId="0" fontId="43" fillId="0" borderId="4" xfId="0" applyFont="1" applyBorder="1" applyAlignment="1">
      <alignment horizontal="left" indent="4"/>
    </xf>
    <xf numFmtId="0" fontId="0" fillId="0" borderId="4" xfId="0" applyBorder="1" applyAlignment="1">
      <alignment horizontal="left" indent="1"/>
    </xf>
    <xf numFmtId="0" fontId="50" fillId="0" borderId="4" xfId="0" applyFont="1" applyBorder="1" applyAlignment="1">
      <alignment horizontal="left" wrapText="1" indent="2"/>
    </xf>
    <xf numFmtId="0" fontId="43" fillId="0" borderId="4" xfId="0" applyFont="1" applyBorder="1" applyAlignment="1">
      <alignment horizontal="left" wrapText="1" indent="4"/>
    </xf>
    <xf numFmtId="0" fontId="0" fillId="0" borderId="4" xfId="0" applyBorder="1" applyAlignment="1">
      <alignment horizontal="left" indent="2"/>
    </xf>
    <xf numFmtId="0" fontId="0" fillId="0" borderId="4" xfId="0" applyBorder="1" applyAlignment="1">
      <alignment horizontal="left" wrapText="1" indent="2"/>
    </xf>
    <xf numFmtId="0" fontId="9" fillId="0" borderId="4" xfId="0" applyFont="1" applyBorder="1" applyAlignment="1">
      <alignment horizontal="left" wrapText="1" indent="2"/>
    </xf>
    <xf numFmtId="10" fontId="8" fillId="0" borderId="4" xfId="11" applyNumberFormat="1" applyFont="1" applyBorder="1" applyAlignment="1">
      <alignment horizontal="left" wrapText="1" indent="1"/>
    </xf>
    <xf numFmtId="0" fontId="0" fillId="0" borderId="4" xfId="0" applyBorder="1" applyAlignment="1">
      <alignment horizontal="left" wrapText="1" indent="1"/>
    </xf>
    <xf numFmtId="10" fontId="8" fillId="0" borderId="4" xfId="11" applyNumberFormat="1" applyFont="1" applyBorder="1" applyAlignment="1">
      <alignment horizontal="left" indent="1"/>
    </xf>
    <xf numFmtId="0" fontId="1" fillId="0" borderId="4" xfId="7" applyBorder="1" applyAlignment="1">
      <alignment horizontal="left" vertical="top" wrapText="1"/>
    </xf>
    <xf numFmtId="0" fontId="1" fillId="0" borderId="5" xfId="0" applyFont="1" applyBorder="1" applyAlignment="1">
      <alignment horizontal="center"/>
    </xf>
    <xf numFmtId="0" fontId="0" fillId="0" borderId="2" xfId="11" applyFont="1" applyBorder="1" applyAlignment="1">
      <alignment wrapText="1"/>
    </xf>
    <xf numFmtId="0" fontId="0" fillId="0" borderId="20" xfId="11" applyFont="1" applyBorder="1" applyAlignment="1">
      <alignment wrapText="1"/>
    </xf>
    <xf numFmtId="0" fontId="9" fillId="0" borderId="1" xfId="0" applyFont="1" applyBorder="1" applyAlignment="1">
      <alignment wrapText="1"/>
    </xf>
    <xf numFmtId="0" fontId="9" fillId="0" borderId="55" xfId="0" applyFont="1" applyBorder="1" applyAlignment="1">
      <alignment wrapText="1"/>
    </xf>
    <xf numFmtId="0" fontId="0" fillId="0" borderId="30" xfId="0" applyBorder="1"/>
    <xf numFmtId="0" fontId="9" fillId="0" borderId="35" xfId="0" applyFont="1" applyBorder="1" applyAlignment="1">
      <alignment wrapText="1"/>
    </xf>
    <xf numFmtId="0" fontId="0" fillId="0" borderId="37" xfId="11" applyFont="1" applyBorder="1" applyAlignment="1">
      <alignment wrapText="1"/>
    </xf>
    <xf numFmtId="10" fontId="0" fillId="0" borderId="3" xfId="0" applyNumberFormat="1" applyBorder="1"/>
    <xf numFmtId="10" fontId="0" fillId="0" borderId="1" xfId="0" applyNumberFormat="1" applyBorder="1"/>
    <xf numFmtId="10" fontId="0" fillId="9" borderId="3" xfId="0" applyNumberFormat="1" applyFill="1" applyBorder="1"/>
    <xf numFmtId="10" fontId="0" fillId="9" borderId="21" xfId="0" applyNumberFormat="1" applyFill="1" applyBorder="1"/>
    <xf numFmtId="10" fontId="0" fillId="0" borderId="2" xfId="0" applyNumberFormat="1" applyBorder="1"/>
    <xf numFmtId="10" fontId="0" fillId="9" borderId="2" xfId="0" applyNumberFormat="1" applyFill="1" applyBorder="1"/>
    <xf numFmtId="10" fontId="0" fillId="9" borderId="20" xfId="0" applyNumberFormat="1" applyFill="1" applyBorder="1"/>
    <xf numFmtId="0" fontId="11" fillId="0" borderId="4" xfId="11" applyFont="1" applyBorder="1" applyAlignment="1" applyProtection="1">
      <alignment vertical="center" wrapText="1"/>
    </xf>
    <xf numFmtId="1" fontId="0" fillId="0" borderId="1" xfId="11" applyNumberFormat="1" applyFont="1" applyBorder="1" applyAlignment="1" applyProtection="1">
      <alignment horizontal="right"/>
    </xf>
    <xf numFmtId="0" fontId="1" fillId="0" borderId="10" xfId="7" applyBorder="1" applyAlignment="1">
      <alignment horizontal="center" wrapText="1"/>
    </xf>
    <xf numFmtId="0" fontId="11" fillId="0" borderId="64" xfId="11" applyFont="1" applyBorder="1" applyAlignment="1">
      <alignment horizontal="center"/>
    </xf>
    <xf numFmtId="0" fontId="1" fillId="0" borderId="58" xfId="7" applyBorder="1">
      <alignment horizontal="left" wrapText="1"/>
    </xf>
    <xf numFmtId="1" fontId="11" fillId="14" borderId="7" xfId="9" applyNumberFormat="1" applyAlignment="1" applyProtection="1">
      <alignment horizontal="right"/>
      <protection locked="0"/>
    </xf>
    <xf numFmtId="0" fontId="1" fillId="0" borderId="33" xfId="7" applyBorder="1" applyAlignment="1">
      <alignment horizontal="center" wrapText="1"/>
    </xf>
    <xf numFmtId="0" fontId="1" fillId="0" borderId="54" xfId="7" applyBorder="1" applyAlignment="1">
      <alignment horizontal="center" wrapText="1"/>
    </xf>
    <xf numFmtId="0" fontId="1" fillId="0" borderId="28" xfId="7" applyBorder="1" applyAlignment="1">
      <alignment horizontal="center" wrapText="1"/>
    </xf>
    <xf numFmtId="0" fontId="11" fillId="14" borderId="16" xfId="9" applyBorder="1" applyProtection="1">
      <protection locked="0"/>
    </xf>
    <xf numFmtId="0" fontId="11" fillId="14" borderId="17" xfId="9" applyBorder="1" applyProtection="1">
      <protection locked="0"/>
    </xf>
    <xf numFmtId="14" fontId="11" fillId="14" borderId="17" xfId="9" applyNumberFormat="1" applyBorder="1" applyProtection="1">
      <protection locked="0"/>
    </xf>
    <xf numFmtId="14" fontId="11" fillId="14" borderId="18" xfId="9" applyNumberFormat="1" applyBorder="1" applyProtection="1">
      <protection locked="0"/>
    </xf>
    <xf numFmtId="0" fontId="11" fillId="14" borderId="33" xfId="9" applyBorder="1" applyAlignment="1" applyProtection="1">
      <alignment horizontal="left"/>
      <protection locked="0"/>
    </xf>
    <xf numFmtId="0" fontId="11" fillId="14" borderId="1" xfId="9" applyBorder="1" applyAlignment="1" applyProtection="1">
      <alignment horizontal="left"/>
      <protection locked="0"/>
    </xf>
    <xf numFmtId="0" fontId="11" fillId="14" borderId="17" xfId="9" applyBorder="1" applyAlignment="1" applyProtection="1">
      <alignment horizontal="left"/>
      <protection locked="0"/>
    </xf>
    <xf numFmtId="0" fontId="11" fillId="14" borderId="55" xfId="9" applyBorder="1" applyAlignment="1" applyProtection="1">
      <alignment horizontal="left"/>
      <protection locked="0"/>
    </xf>
    <xf numFmtId="0" fontId="8" fillId="0" borderId="35" xfId="11" applyFont="1" applyBorder="1" applyAlignment="1" applyProtection="1">
      <alignment horizontal="left"/>
      <protection locked="0"/>
    </xf>
    <xf numFmtId="0" fontId="8" fillId="0" borderId="1" xfId="11" applyFont="1" applyBorder="1" applyAlignment="1" applyProtection="1">
      <alignment horizontal="left"/>
      <protection locked="0"/>
    </xf>
    <xf numFmtId="0" fontId="8" fillId="0" borderId="17" xfId="11" applyFont="1" applyBorder="1" applyAlignment="1" applyProtection="1">
      <alignment horizontal="left"/>
      <protection locked="0"/>
    </xf>
    <xf numFmtId="0" fontId="8" fillId="0" borderId="33" xfId="11" applyFont="1" applyBorder="1" applyAlignment="1" applyProtection="1">
      <alignment horizontal="left"/>
      <protection locked="0"/>
    </xf>
    <xf numFmtId="0" fontId="8" fillId="0" borderId="55" xfId="11" applyFont="1" applyBorder="1" applyAlignment="1" applyProtection="1">
      <alignment horizontal="left"/>
      <protection locked="0"/>
    </xf>
    <xf numFmtId="0" fontId="1" fillId="0" borderId="16" xfId="0" applyFont="1" applyBorder="1"/>
    <xf numFmtId="0" fontId="51" fillId="0" borderId="52" xfId="11" applyFont="1" applyBorder="1" applyAlignment="1">
      <alignment horizontal="center" vertical="center" wrapText="1"/>
    </xf>
    <xf numFmtId="0" fontId="51" fillId="0" borderId="70" xfId="11" applyFont="1" applyBorder="1" applyAlignment="1">
      <alignment horizontal="center" vertical="center" wrapText="1"/>
    </xf>
    <xf numFmtId="3" fontId="0" fillId="0" borderId="95" xfId="6" applyNumberFormat="1" applyFont="1" applyFill="1" applyBorder="1" applyAlignment="1"/>
    <xf numFmtId="3" fontId="0" fillId="0" borderId="0" xfId="6" applyNumberFormat="1" applyFont="1" applyFill="1" applyBorder="1" applyAlignment="1"/>
    <xf numFmtId="3" fontId="3" fillId="0" borderId="48" xfId="6" applyNumberFormat="1" applyFill="1" applyBorder="1" applyAlignment="1"/>
    <xf numFmtId="0" fontId="1" fillId="0" borderId="18" xfId="7" applyBorder="1" applyAlignment="1">
      <alignment horizontal="center" wrapText="1"/>
    </xf>
    <xf numFmtId="0" fontId="11" fillId="14" borderId="40" xfId="9" applyBorder="1" applyAlignment="1" applyProtection="1">
      <alignment horizontal="center"/>
      <protection locked="0"/>
    </xf>
    <xf numFmtId="0" fontId="11" fillId="14" borderId="57" xfId="9" applyBorder="1" applyAlignment="1" applyProtection="1">
      <alignment horizontal="center"/>
      <protection locked="0"/>
    </xf>
    <xf numFmtId="0" fontId="11" fillId="14" borderId="35" xfId="9" applyNumberFormat="1" applyBorder="1" applyAlignment="1" applyProtection="1">
      <alignment wrapText="1"/>
      <protection locked="0"/>
    </xf>
    <xf numFmtId="0" fontId="11" fillId="14" borderId="1" xfId="9" applyNumberFormat="1" applyBorder="1" applyAlignment="1" applyProtection="1">
      <alignment wrapText="1"/>
      <protection locked="0"/>
    </xf>
    <xf numFmtId="0" fontId="0" fillId="0" borderId="34" xfId="0" applyBorder="1" applyAlignment="1">
      <alignment horizontal="right"/>
    </xf>
    <xf numFmtId="0" fontId="54" fillId="0" borderId="13" xfId="0" applyFont="1" applyBorder="1" applyAlignment="1">
      <alignment vertical="center"/>
    </xf>
    <xf numFmtId="0" fontId="54" fillId="0" borderId="16" xfId="0" applyFont="1" applyBorder="1" applyAlignment="1">
      <alignment vertical="center"/>
    </xf>
    <xf numFmtId="0" fontId="54" fillId="0" borderId="39" xfId="0" applyFont="1" applyBorder="1" applyAlignment="1">
      <alignment vertical="center"/>
    </xf>
    <xf numFmtId="0" fontId="1" fillId="0" borderId="55" xfId="7" applyBorder="1">
      <alignment horizontal="left" wrapText="1"/>
    </xf>
    <xf numFmtId="1" fontId="0" fillId="0" borderId="29" xfId="0" applyNumberFormat="1" applyBorder="1"/>
    <xf numFmtId="0" fontId="1" fillId="0" borderId="56" xfId="7" applyBorder="1">
      <alignment horizontal="left" wrapText="1"/>
    </xf>
    <xf numFmtId="1" fontId="0" fillId="0" borderId="57" xfId="0" applyNumberFormat="1" applyBorder="1"/>
    <xf numFmtId="0" fontId="1" fillId="0" borderId="39" xfId="7" applyBorder="1" applyAlignment="1">
      <alignment horizontal="center" wrapText="1"/>
    </xf>
    <xf numFmtId="0" fontId="1" fillId="0" borderId="35" xfId="7" applyBorder="1" applyAlignment="1">
      <alignment horizontal="center" wrapText="1"/>
    </xf>
    <xf numFmtId="0" fontId="1" fillId="0" borderId="39" xfId="11" applyFont="1" applyBorder="1" applyAlignment="1">
      <alignment horizontal="center" wrapText="1"/>
    </xf>
    <xf numFmtId="0" fontId="1" fillId="0" borderId="35" xfId="11" applyFont="1" applyBorder="1" applyAlignment="1">
      <alignment horizontal="center" wrapText="1"/>
    </xf>
    <xf numFmtId="0" fontId="1" fillId="0" borderId="40" xfId="7" applyBorder="1" applyAlignment="1">
      <alignment horizontal="center" wrapText="1"/>
    </xf>
    <xf numFmtId="0" fontId="53" fillId="0" borderId="39" xfId="0" applyFont="1" applyBorder="1" applyAlignment="1">
      <alignment horizontal="center" vertical="center" wrapText="1"/>
    </xf>
    <xf numFmtId="0" fontId="53" fillId="0" borderId="40" xfId="0" applyFont="1" applyBorder="1" applyAlignment="1">
      <alignment horizontal="center" vertical="center" wrapText="1"/>
    </xf>
    <xf numFmtId="0" fontId="49" fillId="0" borderId="1" xfId="0" applyFont="1" applyBorder="1" applyAlignment="1">
      <alignment horizontal="right" vertical="center"/>
    </xf>
    <xf numFmtId="0" fontId="49" fillId="0" borderId="55" xfId="0" applyFont="1" applyBorder="1" applyAlignment="1">
      <alignment horizontal="right" vertical="center"/>
    </xf>
    <xf numFmtId="1" fontId="0" fillId="0" borderId="57" xfId="11" applyNumberFormat="1" applyFont="1" applyBorder="1"/>
    <xf numFmtId="1" fontId="0" fillId="0" borderId="35" xfId="11" applyNumberFormat="1" applyFont="1" applyBorder="1"/>
    <xf numFmtId="0" fontId="49" fillId="0" borderId="35" xfId="0" applyFont="1" applyBorder="1" applyAlignment="1">
      <alignment horizontal="right" vertical="center"/>
    </xf>
    <xf numFmtId="1" fontId="0" fillId="0" borderId="55" xfId="11" applyNumberFormat="1" applyFont="1" applyBorder="1"/>
    <xf numFmtId="1" fontId="0" fillId="0" borderId="59" xfId="11" applyNumberFormat="1" applyFont="1" applyBorder="1"/>
    <xf numFmtId="0" fontId="54" fillId="0" borderId="37" xfId="0" applyFont="1" applyBorder="1" applyAlignment="1">
      <alignment horizontal="left" vertical="center" indent="2"/>
    </xf>
    <xf numFmtId="0" fontId="54" fillId="0" borderId="2" xfId="0" applyFont="1" applyBorder="1" applyAlignment="1">
      <alignment horizontal="left" vertical="center" indent="2"/>
    </xf>
    <xf numFmtId="0" fontId="54" fillId="0" borderId="20" xfId="0" applyFont="1" applyBorder="1" applyAlignment="1">
      <alignment horizontal="left" vertical="center" indent="2"/>
    </xf>
    <xf numFmtId="0" fontId="16" fillId="0" borderId="2" xfId="0" applyFont="1" applyBorder="1" applyAlignment="1">
      <alignment horizontal="left" indent="2"/>
    </xf>
    <xf numFmtId="0" fontId="16" fillId="0" borderId="37" xfId="11" applyFont="1" applyBorder="1" applyAlignment="1">
      <alignment horizontal="left" indent="2"/>
    </xf>
    <xf numFmtId="0" fontId="16" fillId="0" borderId="2" xfId="11" applyFont="1" applyBorder="1" applyAlignment="1">
      <alignment horizontal="left" indent="2"/>
    </xf>
    <xf numFmtId="0" fontId="16" fillId="0" borderId="20" xfId="11" applyFont="1" applyBorder="1" applyAlignment="1">
      <alignment horizontal="left" indent="2"/>
    </xf>
    <xf numFmtId="0" fontId="16" fillId="0" borderId="37" xfId="0" applyFont="1" applyBorder="1" applyAlignment="1">
      <alignment horizontal="left" indent="2"/>
    </xf>
    <xf numFmtId="0" fontId="16" fillId="0" borderId="20" xfId="0" applyFont="1" applyBorder="1" applyAlignment="1">
      <alignment horizontal="left" indent="2"/>
    </xf>
    <xf numFmtId="1" fontId="0" fillId="0" borderId="40" xfId="11" applyNumberFormat="1" applyFont="1" applyBorder="1"/>
    <xf numFmtId="0" fontId="49" fillId="0" borderId="40" xfId="0" applyFont="1" applyBorder="1" applyAlignment="1">
      <alignment horizontal="right" vertical="center"/>
    </xf>
    <xf numFmtId="10" fontId="55" fillId="17" borderId="40" xfId="0" applyNumberFormat="1" applyFont="1" applyFill="1" applyBorder="1" applyAlignment="1" applyProtection="1">
      <alignment horizontal="center" vertical="center"/>
      <protection locked="0"/>
    </xf>
    <xf numFmtId="10" fontId="55" fillId="17" borderId="14" xfId="0" applyNumberFormat="1" applyFont="1" applyFill="1" applyBorder="1" applyAlignment="1" applyProtection="1">
      <alignment horizontal="center" vertical="center"/>
      <protection locked="0"/>
    </xf>
    <xf numFmtId="10" fontId="55" fillId="17" borderId="18" xfId="0" applyNumberFormat="1" applyFont="1" applyFill="1" applyBorder="1" applyAlignment="1" applyProtection="1">
      <alignment horizontal="center" vertical="center"/>
      <protection locked="0"/>
    </xf>
    <xf numFmtId="0" fontId="16" fillId="0" borderId="0" xfId="11" applyFont="1" applyBorder="1" applyAlignment="1" applyProtection="1">
      <alignment horizontal="left" indent="2"/>
    </xf>
    <xf numFmtId="10" fontId="11" fillId="0" borderId="0" xfId="9" applyNumberFormat="1" applyFill="1" applyBorder="1" applyAlignment="1" applyProtection="1">
      <alignment horizontal="center"/>
    </xf>
    <xf numFmtId="14" fontId="0" fillId="0" borderId="0" xfId="0" applyNumberFormat="1"/>
    <xf numFmtId="0" fontId="15" fillId="12" borderId="1" xfId="4" applyBorder="1" applyAlignment="1">
      <alignment horizontal="center" wrapText="1"/>
    </xf>
    <xf numFmtId="0" fontId="11" fillId="14" borderId="1" xfId="9" applyBorder="1" applyAlignment="1" applyProtection="1">
      <alignment wrapText="1"/>
      <protection locked="0"/>
    </xf>
    <xf numFmtId="0" fontId="11" fillId="14" borderId="17" xfId="9" applyBorder="1" applyAlignment="1" applyProtection="1">
      <alignment wrapText="1"/>
      <protection locked="0"/>
    </xf>
    <xf numFmtId="3" fontId="8" fillId="0" borderId="41" xfId="11" applyNumberFormat="1" applyFont="1" applyBorder="1" applyAlignment="1" applyProtection="1">
      <protection locked="0"/>
    </xf>
    <xf numFmtId="3" fontId="8" fillId="0" borderId="72" xfId="11" applyNumberFormat="1" applyFont="1" applyBorder="1" applyAlignment="1" applyProtection="1">
      <alignment horizontal="center"/>
      <protection locked="0"/>
    </xf>
    <xf numFmtId="0" fontId="11" fillId="14" borderId="17" xfId="9" applyNumberFormat="1" applyBorder="1" applyAlignment="1" applyProtection="1">
      <alignment wrapText="1"/>
      <protection locked="0"/>
    </xf>
    <xf numFmtId="3" fontId="11" fillId="14" borderId="35" xfId="9" applyNumberFormat="1" applyBorder="1" applyAlignment="1" applyProtection="1">
      <alignment wrapText="1"/>
      <protection locked="0"/>
    </xf>
    <xf numFmtId="3" fontId="11" fillId="14" borderId="1" xfId="9" applyNumberFormat="1" applyBorder="1" applyAlignment="1" applyProtection="1">
      <alignment wrapText="1"/>
      <protection locked="0"/>
    </xf>
    <xf numFmtId="166" fontId="11" fillId="14" borderId="40" xfId="9" applyNumberFormat="1" applyBorder="1" applyAlignment="1" applyProtection="1">
      <alignment wrapText="1"/>
      <protection locked="0"/>
    </xf>
    <xf numFmtId="166" fontId="11" fillId="14" borderId="14" xfId="9" applyNumberFormat="1" applyBorder="1" applyAlignment="1" applyProtection="1">
      <alignment wrapText="1"/>
      <protection locked="0"/>
    </xf>
    <xf numFmtId="166" fontId="11" fillId="14" borderId="18" xfId="9" applyNumberFormat="1" applyBorder="1" applyAlignment="1" applyProtection="1">
      <alignment wrapText="1"/>
      <protection locked="0"/>
    </xf>
    <xf numFmtId="1" fontId="11" fillId="14" borderId="35" xfId="9" applyNumberFormat="1" applyBorder="1" applyAlignment="1" applyProtection="1">
      <alignment wrapText="1"/>
      <protection locked="0"/>
    </xf>
    <xf numFmtId="1" fontId="11" fillId="14" borderId="1" xfId="9" applyNumberFormat="1" applyBorder="1" applyAlignment="1" applyProtection="1">
      <alignment wrapText="1"/>
      <protection locked="0"/>
    </xf>
    <xf numFmtId="1" fontId="11" fillId="14" borderId="17" xfId="9" applyNumberFormat="1" applyBorder="1" applyAlignment="1" applyProtection="1">
      <alignment wrapText="1"/>
      <protection locked="0"/>
    </xf>
    <xf numFmtId="10" fontId="8" fillId="9" borderId="1" xfId="9" applyNumberFormat="1" applyFont="1" applyFill="1" applyBorder="1" applyProtection="1">
      <protection locked="0"/>
    </xf>
    <xf numFmtId="10" fontId="8" fillId="9" borderId="13" xfId="9" applyNumberFormat="1" applyFont="1" applyFill="1" applyBorder="1" applyProtection="1">
      <protection locked="0"/>
    </xf>
    <xf numFmtId="0" fontId="56" fillId="0" borderId="70" xfId="11" applyFont="1" applyBorder="1" applyAlignment="1">
      <alignment horizontal="center" vertical="center" wrapText="1"/>
    </xf>
    <xf numFmtId="1" fontId="56" fillId="0" borderId="94" xfId="11" applyNumberFormat="1" applyFont="1" applyBorder="1" applyAlignment="1">
      <alignment horizontal="center" vertical="center" wrapText="1"/>
    </xf>
    <xf numFmtId="0" fontId="11" fillId="14" borderId="55" xfId="9" applyNumberFormat="1" applyBorder="1" applyAlignment="1" applyProtection="1">
      <alignment wrapText="1"/>
      <protection locked="0"/>
    </xf>
    <xf numFmtId="3" fontId="11" fillId="14" borderId="55" xfId="9" applyNumberFormat="1" applyBorder="1" applyAlignment="1" applyProtection="1">
      <alignment wrapText="1"/>
      <protection locked="0"/>
    </xf>
    <xf numFmtId="166" fontId="11" fillId="14" borderId="57" xfId="9" applyNumberFormat="1" applyBorder="1" applyAlignment="1" applyProtection="1">
      <alignment wrapText="1"/>
      <protection locked="0"/>
    </xf>
    <xf numFmtId="1" fontId="11" fillId="14" borderId="55" xfId="9" applyNumberFormat="1" applyBorder="1" applyAlignment="1" applyProtection="1">
      <alignment wrapText="1"/>
      <protection locked="0"/>
    </xf>
    <xf numFmtId="0" fontId="11" fillId="14" borderId="55" xfId="9" applyBorder="1" applyAlignment="1" applyProtection="1">
      <alignment wrapText="1"/>
      <protection locked="0"/>
    </xf>
    <xf numFmtId="0" fontId="11" fillId="14" borderId="35" xfId="9" applyBorder="1" applyAlignment="1" applyProtection="1">
      <alignment wrapText="1"/>
      <protection locked="0"/>
    </xf>
    <xf numFmtId="0" fontId="15" fillId="12" borderId="70" xfId="4" applyBorder="1"/>
    <xf numFmtId="0" fontId="16" fillId="0" borderId="27" xfId="0" applyFont="1" applyBorder="1" applyAlignment="1">
      <alignment horizontal="left" wrapText="1" indent="2"/>
    </xf>
    <xf numFmtId="0" fontId="0" fillId="0" borderId="33" xfId="0" applyBorder="1"/>
    <xf numFmtId="166" fontId="11" fillId="14" borderId="40" xfId="15" applyNumberFormat="1" applyFont="1" applyFill="1" applyBorder="1" applyAlignment="1" applyProtection="1">
      <alignment wrapText="1"/>
      <protection locked="0"/>
    </xf>
    <xf numFmtId="166" fontId="11" fillId="14" borderId="14" xfId="15" applyNumberFormat="1" applyFont="1" applyFill="1" applyBorder="1" applyAlignment="1" applyProtection="1">
      <alignment wrapText="1"/>
      <protection locked="0"/>
    </xf>
    <xf numFmtId="0" fontId="15" fillId="12" borderId="36" xfId="4" applyBorder="1" applyAlignment="1">
      <alignment wrapText="1"/>
    </xf>
    <xf numFmtId="0" fontId="15" fillId="12" borderId="149" xfId="4" applyBorder="1" applyAlignment="1">
      <alignment wrapText="1"/>
    </xf>
    <xf numFmtId="1" fontId="11" fillId="0" borderId="0" xfId="9" applyNumberFormat="1" applyFill="1" applyBorder="1" applyAlignment="1" applyProtection="1">
      <protection locked="0"/>
    </xf>
    <xf numFmtId="0" fontId="8" fillId="0" borderId="59" xfId="11" applyFont="1" applyBorder="1" applyAlignment="1" applyProtection="1">
      <protection locked="0"/>
    </xf>
    <xf numFmtId="166" fontId="11" fillId="0" borderId="1" xfId="15" applyNumberFormat="1" applyFont="1" applyBorder="1" applyAlignment="1">
      <alignment horizontal="right"/>
    </xf>
    <xf numFmtId="1" fontId="11" fillId="14" borderId="86" xfId="9" applyNumberFormat="1" applyBorder="1" applyAlignment="1" applyProtection="1">
      <alignment horizontal="center"/>
      <protection locked="0"/>
    </xf>
    <xf numFmtId="1" fontId="11" fillId="14" borderId="150" xfId="9" applyNumberFormat="1" applyBorder="1" applyAlignment="1" applyProtection="1">
      <alignment horizontal="center"/>
      <protection locked="0"/>
    </xf>
    <xf numFmtId="0" fontId="11" fillId="14" borderId="125" xfId="9" applyBorder="1" applyAlignment="1" applyProtection="1">
      <alignment horizontal="center"/>
      <protection locked="0"/>
    </xf>
    <xf numFmtId="0" fontId="11" fillId="14" borderId="151" xfId="9" applyBorder="1" applyAlignment="1" applyProtection="1">
      <alignment horizontal="center"/>
      <protection locked="0"/>
    </xf>
    <xf numFmtId="0" fontId="11" fillId="14" borderId="127" xfId="9" applyBorder="1" applyAlignment="1" applyProtection="1">
      <alignment horizontal="center"/>
      <protection locked="0"/>
    </xf>
    <xf numFmtId="0" fontId="11" fillId="9" borderId="36" xfId="0" applyFont="1" applyFill="1" applyBorder="1" applyAlignment="1">
      <alignment horizontal="center"/>
    </xf>
    <xf numFmtId="0" fontId="11" fillId="9" borderId="37" xfId="0" applyFont="1" applyFill="1" applyBorder="1" applyAlignment="1">
      <alignment horizontal="center"/>
    </xf>
    <xf numFmtId="0" fontId="11" fillId="9" borderId="66" xfId="0" applyFont="1" applyFill="1" applyBorder="1" applyAlignment="1">
      <alignment horizontal="center"/>
    </xf>
    <xf numFmtId="49" fontId="0" fillId="0" borderId="1" xfId="0" applyNumberFormat="1" applyBorder="1" applyAlignment="1">
      <alignment wrapText="1"/>
    </xf>
    <xf numFmtId="10" fontId="11" fillId="0" borderId="4" xfId="11" applyNumberFormat="1" applyFont="1" applyBorder="1" applyAlignment="1" applyProtection="1">
      <alignment horizontal="center"/>
    </xf>
    <xf numFmtId="10" fontId="11" fillId="0" borderId="76" xfId="11" applyNumberFormat="1" applyFont="1" applyBorder="1" applyAlignment="1" applyProtection="1">
      <alignment horizontal="center"/>
    </xf>
    <xf numFmtId="10" fontId="11" fillId="0" borderId="2" xfId="11" applyNumberFormat="1" applyFont="1" applyBorder="1" applyAlignment="1" applyProtection="1">
      <alignment horizontal="center"/>
    </xf>
    <xf numFmtId="1" fontId="11" fillId="0" borderId="98" xfId="11" applyNumberFormat="1" applyFont="1" applyBorder="1" applyAlignment="1" applyProtection="1">
      <alignment horizontal="center"/>
      <protection locked="0"/>
    </xf>
    <xf numFmtId="1" fontId="11" fillId="0" borderId="128" xfId="11" applyNumberFormat="1" applyFont="1" applyBorder="1" applyAlignment="1" applyProtection="1">
      <alignment horizontal="center"/>
      <protection locked="0"/>
    </xf>
    <xf numFmtId="1" fontId="11" fillId="0" borderId="126" xfId="11" applyNumberFormat="1" applyFont="1" applyBorder="1" applyAlignment="1" applyProtection="1">
      <alignment horizontal="center"/>
      <protection locked="0"/>
    </xf>
    <xf numFmtId="0" fontId="0" fillId="9" borderId="0" xfId="0" applyFill="1"/>
    <xf numFmtId="14" fontId="11" fillId="14" borderId="7" xfId="9" applyNumberFormat="1" applyAlignment="1" applyProtection="1">
      <alignment horizontal="center" wrapText="1"/>
      <protection locked="0"/>
    </xf>
    <xf numFmtId="0" fontId="11" fillId="14" borderId="71" xfId="9" applyBorder="1"/>
    <xf numFmtId="0" fontId="11" fillId="14" borderId="72" xfId="9" applyBorder="1"/>
    <xf numFmtId="0" fontId="11" fillId="14" borderId="130" xfId="9" applyBorder="1"/>
    <xf numFmtId="0" fontId="11" fillId="14" borderId="78" xfId="9" applyBorder="1" applyProtection="1">
      <protection locked="0"/>
    </xf>
    <xf numFmtId="14" fontId="11" fillId="14" borderId="78" xfId="9" applyNumberFormat="1" applyBorder="1" applyProtection="1">
      <protection locked="0"/>
    </xf>
    <xf numFmtId="1" fontId="11" fillId="14" borderId="78" xfId="9" applyNumberFormat="1" applyBorder="1" applyProtection="1">
      <protection locked="0"/>
    </xf>
    <xf numFmtId="0" fontId="1" fillId="0" borderId="41" xfId="0" applyFont="1" applyBorder="1" applyAlignment="1">
      <alignment horizontal="center" wrapText="1"/>
    </xf>
    <xf numFmtId="0" fontId="1" fillId="0" borderId="53" xfId="0" applyFont="1" applyBorder="1" applyAlignment="1">
      <alignment horizontal="center" wrapText="1"/>
    </xf>
    <xf numFmtId="2" fontId="0" fillId="0" borderId="18" xfId="0" applyNumberFormat="1" applyBorder="1"/>
    <xf numFmtId="1" fontId="11" fillId="14" borderId="72" xfId="9" applyNumberFormat="1" applyBorder="1" applyAlignment="1" applyProtection="1">
      <alignment horizontal="center"/>
      <protection locked="0"/>
    </xf>
    <xf numFmtId="0" fontId="8" fillId="0" borderId="1" xfId="11" applyFont="1" applyBorder="1"/>
    <xf numFmtId="0" fontId="15" fillId="12" borderId="63" xfId="4" applyBorder="1" applyAlignment="1">
      <alignment horizontal="center" wrapText="1"/>
    </xf>
    <xf numFmtId="0" fontId="0" fillId="0" borderId="14" xfId="0" applyBorder="1" applyAlignment="1">
      <alignment wrapText="1"/>
    </xf>
    <xf numFmtId="0" fontId="0" fillId="0" borderId="95" xfId="0" applyBorder="1" applyAlignment="1">
      <alignment wrapText="1"/>
    </xf>
    <xf numFmtId="0" fontId="0" fillId="0" borderId="114" xfId="0" applyBorder="1" applyAlignment="1">
      <alignment wrapText="1"/>
    </xf>
    <xf numFmtId="0" fontId="0" fillId="0" borderId="48" xfId="0" applyBorder="1" applyAlignment="1">
      <alignment wrapText="1"/>
    </xf>
    <xf numFmtId="0" fontId="0" fillId="0" borderId="0" xfId="0" quotePrefix="1" applyAlignment="1">
      <alignment wrapText="1"/>
    </xf>
    <xf numFmtId="3" fontId="0" fillId="0" borderId="0" xfId="0" applyNumberFormat="1" applyAlignment="1">
      <alignment wrapText="1"/>
    </xf>
    <xf numFmtId="1" fontId="0" fillId="0" borderId="0" xfId="0" applyNumberFormat="1" applyAlignment="1">
      <alignment wrapText="1"/>
    </xf>
    <xf numFmtId="168" fontId="0" fillId="0" borderId="0" xfId="0" applyNumberFormat="1" applyAlignment="1">
      <alignment wrapText="1"/>
    </xf>
    <xf numFmtId="168" fontId="11" fillId="14" borderId="1" xfId="9" applyNumberFormat="1" applyBorder="1" applyProtection="1">
      <protection locked="0"/>
    </xf>
    <xf numFmtId="10" fontId="11" fillId="0" borderId="152" xfId="11" applyNumberFormat="1" applyFont="1" applyBorder="1" applyAlignment="1">
      <alignment horizontal="center"/>
    </xf>
    <xf numFmtId="10" fontId="11" fillId="0" borderId="8" xfId="11" applyNumberFormat="1" applyFont="1" applyBorder="1" applyAlignment="1">
      <alignment horizontal="center"/>
    </xf>
    <xf numFmtId="10" fontId="11" fillId="0" borderId="80" xfId="11" applyNumberFormat="1" applyFont="1" applyBorder="1" applyAlignment="1">
      <alignment horizontal="center"/>
    </xf>
    <xf numFmtId="0" fontId="40" fillId="0" borderId="53" xfId="5" applyBorder="1" applyAlignment="1">
      <alignment horizontal="right" wrapText="1"/>
    </xf>
    <xf numFmtId="0" fontId="11" fillId="14" borderId="129" xfId="9" applyBorder="1" applyProtection="1">
      <protection locked="0"/>
    </xf>
    <xf numFmtId="0" fontId="11" fillId="0" borderId="1" xfId="11" applyFont="1" applyBorder="1"/>
    <xf numFmtId="10" fontId="8" fillId="9" borderId="3" xfId="0" applyNumberFormat="1" applyFont="1" applyFill="1" applyBorder="1"/>
    <xf numFmtId="0" fontId="11" fillId="14" borderId="7" xfId="9" applyAlignment="1" applyProtection="1">
      <protection locked="0"/>
    </xf>
    <xf numFmtId="9" fontId="40" fillId="0" borderId="0" xfId="10" applyFont="1" applyAlignment="1">
      <alignment horizontal="right"/>
    </xf>
    <xf numFmtId="166" fontId="11" fillId="14" borderId="82" xfId="9" applyNumberFormat="1" applyBorder="1" applyProtection="1">
      <protection locked="0"/>
    </xf>
    <xf numFmtId="166" fontId="11" fillId="14" borderId="15" xfId="9" applyNumberFormat="1" applyBorder="1" applyProtection="1">
      <protection locked="0"/>
    </xf>
    <xf numFmtId="166" fontId="11" fillId="14" borderId="73" xfId="9" applyNumberFormat="1" applyBorder="1" applyProtection="1">
      <protection locked="0"/>
    </xf>
    <xf numFmtId="0" fontId="11" fillId="14" borderId="55" xfId="9" applyBorder="1" applyProtection="1">
      <protection locked="0"/>
    </xf>
    <xf numFmtId="0" fontId="11" fillId="14" borderId="71" xfId="9" applyBorder="1" applyAlignment="1" applyProtection="1">
      <alignment wrapText="1"/>
      <protection locked="0"/>
    </xf>
    <xf numFmtId="1" fontId="11" fillId="14" borderId="15" xfId="9" applyNumberFormat="1" applyBorder="1" applyAlignment="1" applyProtection="1">
      <alignment wrapText="1"/>
      <protection locked="0"/>
    </xf>
    <xf numFmtId="0" fontId="11" fillId="14" borderId="71" xfId="9" applyBorder="1" applyAlignment="1" applyProtection="1">
      <protection locked="0"/>
    </xf>
    <xf numFmtId="1" fontId="11" fillId="14" borderId="7" xfId="9" applyNumberFormat="1" applyAlignment="1" applyProtection="1">
      <protection locked="0"/>
    </xf>
    <xf numFmtId="1" fontId="11" fillId="14" borderId="15" xfId="9" applyNumberFormat="1" applyBorder="1" applyAlignment="1" applyProtection="1">
      <protection locked="0"/>
    </xf>
    <xf numFmtId="0" fontId="11" fillId="14" borderId="87" xfId="9" applyBorder="1" applyAlignment="1" applyProtection="1">
      <protection locked="0"/>
    </xf>
    <xf numFmtId="0" fontId="11" fillId="14" borderId="85" xfId="9" applyBorder="1" applyAlignment="1" applyProtection="1">
      <protection locked="0"/>
    </xf>
    <xf numFmtId="0" fontId="11" fillId="14" borderId="85" xfId="9" applyBorder="1" applyAlignment="1" applyProtection="1">
      <alignment wrapText="1"/>
      <protection locked="0"/>
    </xf>
    <xf numFmtId="1" fontId="11" fillId="14" borderId="85" xfId="9" applyNumberFormat="1" applyBorder="1" applyAlignment="1" applyProtection="1">
      <protection locked="0"/>
    </xf>
    <xf numFmtId="1" fontId="11" fillId="14" borderId="88" xfId="9" applyNumberFormat="1" applyBorder="1" applyAlignment="1" applyProtection="1">
      <protection locked="0"/>
    </xf>
    <xf numFmtId="0" fontId="40" fillId="0" borderId="153" xfId="5" applyBorder="1" applyAlignment="1">
      <alignment horizontal="right"/>
    </xf>
    <xf numFmtId="0" fontId="40" fillId="0" borderId="153" xfId="5" applyBorder="1"/>
    <xf numFmtId="9" fontId="40" fillId="0" borderId="153" xfId="13" applyBorder="1"/>
    <xf numFmtId="1" fontId="40" fillId="0" borderId="153" xfId="14" applyBorder="1">
      <alignment wrapText="1"/>
    </xf>
    <xf numFmtId="10" fontId="11" fillId="14" borderId="9" xfId="9" applyNumberFormat="1" applyBorder="1" applyProtection="1">
      <protection locked="0"/>
    </xf>
    <xf numFmtId="10" fontId="11" fillId="14" borderId="89" xfId="9" applyNumberFormat="1" applyBorder="1" applyProtection="1">
      <protection locked="0"/>
    </xf>
    <xf numFmtId="10" fontId="11" fillId="14" borderId="105" xfId="9" applyNumberFormat="1" applyBorder="1" applyProtection="1">
      <protection locked="0"/>
    </xf>
    <xf numFmtId="10" fontId="11" fillId="14" borderId="155" xfId="9" applyNumberFormat="1" applyBorder="1" applyProtection="1">
      <protection locked="0"/>
    </xf>
    <xf numFmtId="10" fontId="11" fillId="14" borderId="154" xfId="9" applyNumberFormat="1" applyBorder="1" applyProtection="1">
      <protection locked="0"/>
    </xf>
    <xf numFmtId="3" fontId="11" fillId="7" borderId="7" xfId="1" applyNumberFormat="1" applyFont="1" applyFill="1" applyBorder="1" applyAlignment="1">
      <alignment horizontal="center"/>
    </xf>
    <xf numFmtId="0" fontId="12" fillId="0" borderId="0" xfId="0" applyFont="1" applyAlignment="1">
      <alignment horizontal="center"/>
    </xf>
    <xf numFmtId="0" fontId="7" fillId="0" borderId="0" xfId="0" applyFont="1" applyAlignment="1">
      <alignment horizontal="left" vertical="center"/>
    </xf>
    <xf numFmtId="0" fontId="11" fillId="7" borderId="7" xfId="2" applyAlignment="1">
      <alignment horizontal="left"/>
    </xf>
    <xf numFmtId="0" fontId="1" fillId="0" borderId="0" xfId="0" applyFont="1" applyAlignment="1">
      <alignment horizontal="center"/>
    </xf>
    <xf numFmtId="0" fontId="13" fillId="16" borderId="45" xfId="12" applyFill="1" applyBorder="1" applyAlignment="1">
      <alignment horizontal="right"/>
    </xf>
    <xf numFmtId="0" fontId="13" fillId="16" borderId="103" xfId="12" applyFill="1" applyBorder="1" applyAlignment="1">
      <alignment horizontal="right"/>
    </xf>
    <xf numFmtId="0" fontId="13" fillId="16" borderId="0" xfId="12" applyFill="1" applyBorder="1" applyAlignment="1">
      <alignment horizontal="right"/>
    </xf>
    <xf numFmtId="0" fontId="0" fillId="16" borderId="6" xfId="0" applyFill="1" applyBorder="1" applyAlignment="1">
      <alignment horizontal="center"/>
    </xf>
    <xf numFmtId="0" fontId="0" fillId="16" borderId="0" xfId="0" applyFill="1" applyAlignment="1">
      <alignment horizontal="center"/>
    </xf>
    <xf numFmtId="9" fontId="0" fillId="16" borderId="0" xfId="10" applyFont="1" applyFill="1" applyBorder="1" applyAlignment="1">
      <alignment horizontal="center"/>
    </xf>
    <xf numFmtId="0" fontId="11" fillId="14" borderId="6" xfId="9" applyBorder="1" applyAlignment="1" applyProtection="1">
      <alignment horizontal="center"/>
      <protection locked="0"/>
    </xf>
    <xf numFmtId="0" fontId="11" fillId="14" borderId="132" xfId="9" applyBorder="1" applyAlignment="1" applyProtection="1">
      <alignment horizontal="center"/>
      <protection locked="0"/>
    </xf>
    <xf numFmtId="0" fontId="0" fillId="8" borderId="6" xfId="0" applyFill="1" applyBorder="1" applyAlignment="1">
      <alignment horizontal="center"/>
    </xf>
    <xf numFmtId="0" fontId="0" fillId="8" borderId="0" xfId="0" applyFill="1" applyAlignment="1">
      <alignment horizontal="center"/>
    </xf>
    <xf numFmtId="0" fontId="13" fillId="16" borderId="0" xfId="11" applyFont="1" applyFill="1" applyBorder="1" applyAlignment="1">
      <alignment horizontal="right"/>
    </xf>
    <xf numFmtId="0" fontId="13" fillId="15" borderId="0" xfId="12" applyFill="1" applyBorder="1" applyAlignment="1">
      <alignment horizontal="right"/>
    </xf>
    <xf numFmtId="1" fontId="0" fillId="8" borderId="6" xfId="0" applyNumberFormat="1" applyFill="1" applyBorder="1" applyAlignment="1">
      <alignment horizontal="center"/>
    </xf>
    <xf numFmtId="1" fontId="0" fillId="8" borderId="0" xfId="0" applyNumberFormat="1" applyFill="1" applyAlignment="1">
      <alignment horizontal="center"/>
    </xf>
    <xf numFmtId="9" fontId="0" fillId="8" borderId="0" xfId="0" applyNumberFormat="1" applyFill="1" applyAlignment="1">
      <alignment horizontal="center"/>
    </xf>
    <xf numFmtId="0" fontId="13" fillId="15" borderId="0" xfId="11" applyFont="1" applyFill="1" applyBorder="1" applyAlignment="1">
      <alignment horizontal="right"/>
    </xf>
    <xf numFmtId="0" fontId="13" fillId="16" borderId="22" xfId="11" applyFont="1" applyFill="1" applyBorder="1" applyAlignment="1">
      <alignment horizontal="right"/>
    </xf>
    <xf numFmtId="9" fontId="0" fillId="8" borderId="21" xfId="0" applyNumberFormat="1" applyFill="1" applyBorder="1" applyAlignment="1">
      <alignment horizontal="center"/>
    </xf>
    <xf numFmtId="0" fontId="0" fillId="0" borderId="0" xfId="0" applyAlignment="1">
      <alignment horizontal="center"/>
    </xf>
    <xf numFmtId="164" fontId="0" fillId="0" borderId="0" xfId="0" applyNumberFormat="1" applyAlignment="1">
      <alignment horizontal="center"/>
    </xf>
    <xf numFmtId="0" fontId="0" fillId="16" borderId="132" xfId="0" applyFill="1" applyBorder="1" applyAlignment="1">
      <alignment horizontal="center"/>
    </xf>
    <xf numFmtId="0" fontId="0" fillId="16" borderId="45" xfId="0" applyFill="1" applyBorder="1" applyAlignment="1">
      <alignment horizontal="center"/>
    </xf>
    <xf numFmtId="9" fontId="0" fillId="16" borderId="45" xfId="10" applyFont="1" applyFill="1" applyBorder="1" applyAlignment="1">
      <alignment horizontal="center"/>
    </xf>
    <xf numFmtId="0" fontId="0" fillId="16" borderId="141" xfId="0" applyFill="1" applyBorder="1" applyAlignment="1">
      <alignment horizontal="center"/>
    </xf>
    <xf numFmtId="0" fontId="0" fillId="16" borderId="140" xfId="0" applyFill="1" applyBorder="1" applyAlignment="1">
      <alignment horizontal="center"/>
    </xf>
    <xf numFmtId="0" fontId="0" fillId="16" borderId="139" xfId="0" applyFill="1" applyBorder="1" applyAlignment="1">
      <alignment horizontal="center"/>
    </xf>
    <xf numFmtId="0" fontId="0" fillId="16" borderId="135" xfId="0" applyFill="1" applyBorder="1" applyAlignment="1">
      <alignment horizontal="center"/>
    </xf>
    <xf numFmtId="9" fontId="0" fillId="16" borderId="141" xfId="10" applyFont="1" applyFill="1" applyBorder="1" applyAlignment="1">
      <alignment horizontal="center" vertical="center"/>
    </xf>
    <xf numFmtId="9" fontId="0" fillId="16" borderId="0" xfId="10" applyFont="1" applyFill="1" applyBorder="1" applyAlignment="1">
      <alignment horizontal="center" vertical="center"/>
    </xf>
    <xf numFmtId="9" fontId="0" fillId="16" borderId="135" xfId="10" applyFont="1" applyFill="1" applyBorder="1" applyAlignment="1">
      <alignment horizontal="center" vertical="center"/>
    </xf>
    <xf numFmtId="9" fontId="0" fillId="8" borderId="0" xfId="10" applyFont="1" applyFill="1" applyBorder="1" applyAlignment="1">
      <alignment horizontal="center"/>
    </xf>
    <xf numFmtId="0" fontId="3" fillId="0" borderId="27" xfId="6" applyNumberFormat="1" applyBorder="1" applyAlignment="1">
      <alignment horizontal="center" vertical="center"/>
    </xf>
    <xf numFmtId="0" fontId="3" fillId="0" borderId="33" xfId="6" applyNumberFormat="1" applyBorder="1" applyAlignment="1">
      <alignment horizontal="center" vertical="center"/>
    </xf>
    <xf numFmtId="0" fontId="3" fillId="0" borderId="16" xfId="6" applyNumberFormat="1" applyBorder="1" applyAlignment="1">
      <alignment horizontal="center" vertical="center"/>
    </xf>
    <xf numFmtId="0" fontId="3" fillId="0" borderId="17" xfId="6" applyNumberFormat="1" applyBorder="1" applyAlignment="1">
      <alignment horizontal="center" vertical="center"/>
    </xf>
    <xf numFmtId="0" fontId="11" fillId="14" borderId="102" xfId="9" applyBorder="1" applyAlignment="1" applyProtection="1">
      <alignment horizontal="center" vertical="center"/>
      <protection locked="0"/>
    </xf>
    <xf numFmtId="0" fontId="11" fillId="14" borderId="74" xfId="9" applyBorder="1" applyAlignment="1" applyProtection="1">
      <alignment horizontal="center" vertical="center"/>
      <protection locked="0"/>
    </xf>
    <xf numFmtId="0" fontId="11" fillId="14" borderId="75" xfId="9" applyBorder="1" applyAlignment="1" applyProtection="1">
      <alignment horizontal="center" vertical="center"/>
      <protection locked="0"/>
    </xf>
    <xf numFmtId="0" fontId="11" fillId="14" borderId="73" xfId="9" applyBorder="1" applyAlignment="1" applyProtection="1">
      <alignment horizontal="center" vertical="center"/>
      <protection locked="0"/>
    </xf>
    <xf numFmtId="0" fontId="13" fillId="8" borderId="0" xfId="11" applyFont="1" applyFill="1" applyBorder="1" applyAlignment="1">
      <alignment horizontal="right"/>
    </xf>
    <xf numFmtId="0" fontId="42" fillId="8" borderId="0" xfId="8" applyFill="1" applyAlignment="1">
      <alignment horizontal="center"/>
    </xf>
    <xf numFmtId="0" fontId="42" fillId="8" borderId="6" xfId="8" applyFill="1" applyBorder="1" applyAlignment="1">
      <alignment horizontal="center"/>
    </xf>
    <xf numFmtId="0" fontId="13" fillId="16" borderId="135" xfId="11" applyFont="1" applyFill="1" applyBorder="1" applyAlignment="1">
      <alignment horizontal="right"/>
    </xf>
    <xf numFmtId="0" fontId="13" fillId="16" borderId="136" xfId="11" applyFont="1" applyFill="1" applyBorder="1" applyAlignment="1">
      <alignment horizontal="right"/>
    </xf>
    <xf numFmtId="1" fontId="0" fillId="16" borderId="139" xfId="0" applyNumberFormat="1" applyFill="1" applyBorder="1" applyAlignment="1">
      <alignment horizontal="center"/>
    </xf>
    <xf numFmtId="1" fontId="0" fillId="16" borderId="135" xfId="0" applyNumberFormat="1" applyFill="1" applyBorder="1" applyAlignment="1">
      <alignment horizontal="center"/>
    </xf>
    <xf numFmtId="0" fontId="0" fillId="0" borderId="46" xfId="11" applyFont="1" applyBorder="1" applyAlignment="1">
      <alignment horizontal="center"/>
    </xf>
    <xf numFmtId="0" fontId="0" fillId="0" borderId="48" xfId="11" applyFont="1" applyBorder="1" applyAlignment="1">
      <alignment horizontal="center"/>
    </xf>
    <xf numFmtId="9" fontId="0" fillId="16" borderId="135" xfId="10" applyFont="1" applyFill="1" applyBorder="1" applyAlignment="1">
      <alignment horizontal="center"/>
    </xf>
    <xf numFmtId="3" fontId="11" fillId="14" borderId="22" xfId="9" applyNumberFormat="1" applyBorder="1" applyAlignment="1" applyProtection="1">
      <alignment horizontal="center"/>
      <protection locked="0"/>
    </xf>
    <xf numFmtId="3" fontId="11" fillId="14" borderId="100" xfId="9" applyNumberFormat="1" applyBorder="1" applyAlignment="1" applyProtection="1">
      <alignment horizontal="center"/>
      <protection locked="0"/>
    </xf>
    <xf numFmtId="3" fontId="11" fillId="14" borderId="103" xfId="9" applyNumberFormat="1" applyBorder="1" applyAlignment="1" applyProtection="1">
      <alignment horizontal="center"/>
      <protection locked="0"/>
    </xf>
    <xf numFmtId="0" fontId="5" fillId="0" borderId="32" xfId="11" applyFont="1" applyBorder="1" applyAlignment="1">
      <alignment horizontal="center"/>
    </xf>
    <xf numFmtId="0" fontId="5" fillId="0" borderId="34" xfId="11" applyFont="1" applyBorder="1" applyAlignment="1">
      <alignment horizontal="center"/>
    </xf>
    <xf numFmtId="0" fontId="5" fillId="0" borderId="31" xfId="11" applyFont="1" applyBorder="1" applyAlignment="1">
      <alignment horizontal="center"/>
    </xf>
    <xf numFmtId="0" fontId="5" fillId="0" borderId="30" xfId="11" applyFont="1" applyBorder="1" applyAlignment="1">
      <alignment horizontal="center"/>
    </xf>
    <xf numFmtId="0" fontId="5" fillId="0" borderId="23" xfId="11" applyFont="1" applyBorder="1" applyAlignment="1">
      <alignment horizontal="center"/>
    </xf>
    <xf numFmtId="0" fontId="5" fillId="0" borderId="24" xfId="11" applyFont="1" applyBorder="1" applyAlignment="1">
      <alignment horizontal="center"/>
    </xf>
    <xf numFmtId="0" fontId="5" fillId="0" borderId="38" xfId="11" applyFont="1" applyBorder="1" applyAlignment="1">
      <alignment horizontal="right"/>
    </xf>
    <xf numFmtId="0" fontId="5" fillId="0" borderId="19" xfId="11" applyFont="1" applyBorder="1" applyAlignment="1">
      <alignment horizontal="right"/>
    </xf>
    <xf numFmtId="1" fontId="0" fillId="8" borderId="32" xfId="0" applyNumberFormat="1" applyFill="1" applyBorder="1" applyAlignment="1">
      <alignment horizontal="center"/>
    </xf>
    <xf numFmtId="1" fontId="0" fillId="8" borderId="34" xfId="0" applyNumberFormat="1" applyFill="1" applyBorder="1" applyAlignment="1">
      <alignment horizontal="center"/>
    </xf>
    <xf numFmtId="1" fontId="0" fillId="16" borderId="32" xfId="10" applyNumberFormat="1" applyFont="1" applyFill="1" applyBorder="1" applyAlignment="1">
      <alignment horizontal="center"/>
    </xf>
    <xf numFmtId="1" fontId="0" fillId="16" borderId="34" xfId="10" applyNumberFormat="1" applyFont="1" applyFill="1" applyBorder="1" applyAlignment="1">
      <alignment horizontal="center"/>
    </xf>
    <xf numFmtId="0" fontId="13" fillId="15" borderId="21" xfId="11" applyFont="1" applyFill="1" applyBorder="1" applyAlignment="1">
      <alignment horizontal="right"/>
    </xf>
    <xf numFmtId="0" fontId="0" fillId="8" borderId="21" xfId="0" applyFill="1" applyBorder="1" applyAlignment="1">
      <alignment horizontal="center"/>
    </xf>
    <xf numFmtId="1" fontId="0" fillId="16" borderId="23" xfId="10" applyNumberFormat="1" applyFont="1" applyFill="1" applyBorder="1" applyAlignment="1">
      <alignment horizontal="center"/>
    </xf>
    <xf numFmtId="1" fontId="0" fillId="16" borderId="24" xfId="10" applyNumberFormat="1" applyFont="1" applyFill="1" applyBorder="1" applyAlignment="1">
      <alignment horizontal="center"/>
    </xf>
    <xf numFmtId="1" fontId="0" fillId="0" borderId="0" xfId="0" applyNumberFormat="1" applyAlignment="1">
      <alignment horizontal="center"/>
    </xf>
    <xf numFmtId="1" fontId="0" fillId="16" borderId="143" xfId="10" applyNumberFormat="1" applyFont="1" applyFill="1" applyBorder="1" applyAlignment="1">
      <alignment horizontal="center" vertical="center"/>
    </xf>
    <xf numFmtId="1" fontId="0" fillId="16" borderId="142" xfId="10" applyNumberFormat="1" applyFont="1" applyFill="1" applyBorder="1" applyAlignment="1">
      <alignment horizontal="center" vertical="center"/>
    </xf>
    <xf numFmtId="1" fontId="0" fillId="16" borderId="32" xfId="10" applyNumberFormat="1" applyFont="1" applyFill="1" applyBorder="1" applyAlignment="1">
      <alignment horizontal="center" vertical="center"/>
    </xf>
    <xf numFmtId="1" fontId="0" fillId="16" borderId="34" xfId="10" applyNumberFormat="1" applyFont="1" applyFill="1" applyBorder="1" applyAlignment="1">
      <alignment horizontal="center" vertical="center"/>
    </xf>
    <xf numFmtId="1" fontId="0" fillId="16" borderId="137" xfId="10" applyNumberFormat="1" applyFont="1" applyFill="1" applyBorder="1" applyAlignment="1">
      <alignment horizontal="center" vertical="center"/>
    </xf>
    <xf numFmtId="1" fontId="0" fillId="16" borderId="138" xfId="10" applyNumberFormat="1" applyFont="1" applyFill="1" applyBorder="1" applyAlignment="1">
      <alignment horizontal="center" vertical="center"/>
    </xf>
    <xf numFmtId="1" fontId="0" fillId="8" borderId="32" xfId="10" applyNumberFormat="1" applyFont="1" applyFill="1" applyBorder="1" applyAlignment="1">
      <alignment horizontal="center"/>
    </xf>
    <xf numFmtId="1" fontId="0" fillId="8" borderId="34" xfId="10" applyNumberFormat="1" applyFont="1" applyFill="1" applyBorder="1" applyAlignment="1">
      <alignment horizontal="center"/>
    </xf>
    <xf numFmtId="0" fontId="0" fillId="16" borderId="141" xfId="0" applyFill="1" applyBorder="1" applyAlignment="1">
      <alignment horizontal="center" vertical="center"/>
    </xf>
    <xf numFmtId="0" fontId="0" fillId="16" borderId="142" xfId="0" applyFill="1" applyBorder="1" applyAlignment="1">
      <alignment horizontal="center" vertical="center"/>
    </xf>
    <xf numFmtId="0" fontId="0" fillId="16" borderId="0" xfId="0" applyFill="1" applyAlignment="1">
      <alignment horizontal="center" vertical="center"/>
    </xf>
    <xf numFmtId="0" fontId="0" fillId="16" borderId="34" xfId="0" applyFill="1" applyBorder="1" applyAlignment="1">
      <alignment horizontal="center" vertical="center"/>
    </xf>
    <xf numFmtId="0" fontId="0" fillId="16" borderId="135" xfId="0" applyFill="1" applyBorder="1" applyAlignment="1">
      <alignment horizontal="center" vertical="center"/>
    </xf>
    <xf numFmtId="0" fontId="0" fillId="16" borderId="138" xfId="0" applyFill="1" applyBorder="1" applyAlignment="1">
      <alignment horizontal="center" vertical="center"/>
    </xf>
    <xf numFmtId="0" fontId="0" fillId="16" borderId="24" xfId="0" applyFill="1" applyBorder="1" applyAlignment="1">
      <alignment horizontal="center"/>
    </xf>
    <xf numFmtId="1" fontId="0" fillId="16" borderId="137" xfId="10" applyNumberFormat="1" applyFont="1" applyFill="1" applyBorder="1" applyAlignment="1">
      <alignment horizontal="center"/>
    </xf>
    <xf numFmtId="1" fontId="0" fillId="16" borderId="138" xfId="10" applyNumberFormat="1" applyFont="1" applyFill="1" applyBorder="1" applyAlignment="1">
      <alignment horizontal="center"/>
    </xf>
    <xf numFmtId="1" fontId="0" fillId="8" borderId="21" xfId="0" applyNumberFormat="1" applyFill="1" applyBorder="1" applyAlignment="1">
      <alignment horizontal="center"/>
    </xf>
    <xf numFmtId="0" fontId="0" fillId="16" borderId="138" xfId="0" applyFill="1" applyBorder="1" applyAlignment="1">
      <alignment horizontal="center"/>
    </xf>
    <xf numFmtId="0" fontId="5" fillId="0" borderId="131" xfId="11" applyFont="1" applyBorder="1" applyAlignment="1">
      <alignment horizontal="center" wrapText="1"/>
    </xf>
    <xf numFmtId="0" fontId="5" fillId="0" borderId="48" xfId="11" applyFont="1" applyBorder="1" applyAlignment="1">
      <alignment horizontal="center" wrapText="1"/>
    </xf>
    <xf numFmtId="1" fontId="11" fillId="14" borderId="70" xfId="9" applyNumberFormat="1" applyBorder="1" applyAlignment="1" applyProtection="1">
      <alignment horizontal="right"/>
      <protection locked="0"/>
    </xf>
    <xf numFmtId="1" fontId="11" fillId="14" borderId="35" xfId="9" applyNumberFormat="1" applyBorder="1" applyAlignment="1" applyProtection="1">
      <alignment horizontal="right"/>
      <protection locked="0"/>
    </xf>
    <xf numFmtId="1" fontId="11" fillId="14" borderId="94" xfId="9" applyNumberFormat="1" applyBorder="1" applyAlignment="1" applyProtection="1">
      <alignment horizontal="right"/>
      <protection locked="0"/>
    </xf>
    <xf numFmtId="1" fontId="11" fillId="14" borderId="40" xfId="9" applyNumberFormat="1" applyBorder="1" applyAlignment="1" applyProtection="1">
      <alignment horizontal="right"/>
      <protection locked="0"/>
    </xf>
    <xf numFmtId="0" fontId="42" fillId="15" borderId="19" xfId="8" applyFill="1" applyBorder="1" applyAlignment="1">
      <alignment horizontal="center" vertical="center"/>
    </xf>
    <xf numFmtId="0" fontId="42" fillId="15" borderId="37" xfId="8" applyFill="1" applyBorder="1" applyAlignment="1">
      <alignment horizontal="center" vertical="center"/>
    </xf>
    <xf numFmtId="0" fontId="0" fillId="8" borderId="29" xfId="0" applyFill="1" applyBorder="1" applyAlignment="1">
      <alignment horizontal="center"/>
    </xf>
    <xf numFmtId="0" fontId="11" fillId="14" borderId="62" xfId="9" applyBorder="1" applyAlignment="1" applyProtection="1">
      <alignment horizontal="center"/>
      <protection locked="0"/>
    </xf>
    <xf numFmtId="0" fontId="42" fillId="8" borderId="32" xfId="8" applyFill="1" applyBorder="1" applyAlignment="1">
      <alignment horizontal="center"/>
    </xf>
    <xf numFmtId="0" fontId="42" fillId="8" borderId="34" xfId="8" applyFill="1" applyBorder="1" applyAlignment="1">
      <alignment horizontal="center"/>
    </xf>
    <xf numFmtId="1" fontId="0" fillId="8" borderId="50" xfId="0" applyNumberFormat="1" applyFill="1" applyBorder="1" applyAlignment="1">
      <alignment horizontal="center"/>
    </xf>
    <xf numFmtId="1" fontId="0" fillId="8" borderId="51" xfId="0" applyNumberFormat="1" applyFill="1" applyBorder="1" applyAlignment="1">
      <alignment horizontal="center"/>
    </xf>
    <xf numFmtId="1" fontId="11" fillId="14" borderId="36" xfId="9" applyNumberFormat="1" applyBorder="1" applyAlignment="1" applyProtection="1">
      <alignment horizontal="center"/>
      <protection locked="0"/>
    </xf>
    <xf numFmtId="1" fontId="11" fillId="14" borderId="4" xfId="9" applyNumberFormat="1" applyBorder="1" applyAlignment="1" applyProtection="1">
      <alignment horizontal="center"/>
      <protection locked="0"/>
    </xf>
    <xf numFmtId="1" fontId="11" fillId="14" borderId="29" xfId="9" applyNumberFormat="1" applyBorder="1" applyAlignment="1" applyProtection="1">
      <alignment horizontal="center"/>
      <protection locked="0"/>
    </xf>
    <xf numFmtId="1" fontId="11" fillId="14" borderId="43" xfId="9" applyNumberFormat="1" applyBorder="1" applyAlignment="1" applyProtection="1">
      <alignment horizontal="center"/>
      <protection locked="0"/>
    </xf>
    <xf numFmtId="1" fontId="11" fillId="14" borderId="44" xfId="9" applyNumberFormat="1" applyBorder="1" applyAlignment="1" applyProtection="1">
      <alignment horizontal="center"/>
      <protection locked="0"/>
    </xf>
    <xf numFmtId="0" fontId="13" fillId="0" borderId="0" xfId="12" applyAlignment="1">
      <alignment horizontal="center"/>
    </xf>
    <xf numFmtId="0" fontId="42" fillId="0" borderId="0" xfId="8" applyAlignment="1">
      <alignment horizontal="left"/>
    </xf>
    <xf numFmtId="10" fontId="8" fillId="0" borderId="55" xfId="0" applyNumberFormat="1" applyFont="1" applyBorder="1" applyAlignment="1">
      <alignment horizontal="center"/>
    </xf>
    <xf numFmtId="10" fontId="8" fillId="0" borderId="5" xfId="0" applyNumberFormat="1" applyFont="1" applyBorder="1" applyAlignment="1">
      <alignment horizontal="center"/>
    </xf>
    <xf numFmtId="10" fontId="8" fillId="0" borderId="35" xfId="0" applyNumberFormat="1" applyFont="1" applyBorder="1" applyAlignment="1">
      <alignment horizontal="center"/>
    </xf>
    <xf numFmtId="0" fontId="0" fillId="0" borderId="57" xfId="0" applyBorder="1" applyAlignment="1">
      <alignment horizontal="center" wrapText="1"/>
    </xf>
    <xf numFmtId="0" fontId="0" fillId="0" borderId="95" xfId="0" applyBorder="1" applyAlignment="1">
      <alignment horizontal="center" wrapText="1"/>
    </xf>
    <xf numFmtId="0" fontId="0" fillId="0" borderId="40" xfId="0" applyBorder="1" applyAlignment="1">
      <alignment horizontal="center" wrapText="1"/>
    </xf>
    <xf numFmtId="0" fontId="0" fillId="0" borderId="55" xfId="0" applyBorder="1" applyAlignment="1">
      <alignment horizontal="center"/>
    </xf>
    <xf numFmtId="0" fontId="0" fillId="0" borderId="5" xfId="0" applyBorder="1" applyAlignment="1">
      <alignment horizontal="center"/>
    </xf>
    <xf numFmtId="0" fontId="0" fillId="0" borderId="35" xfId="0" applyBorder="1" applyAlignment="1">
      <alignment horizontal="center"/>
    </xf>
    <xf numFmtId="0" fontId="0" fillId="0" borderId="50" xfId="0" applyBorder="1" applyAlignment="1">
      <alignment horizontal="right"/>
    </xf>
    <xf numFmtId="0" fontId="0" fillId="0" borderId="21" xfId="0" applyBorder="1" applyAlignment="1">
      <alignment horizontal="right"/>
    </xf>
    <xf numFmtId="0" fontId="0" fillId="0" borderId="20" xfId="0" applyBorder="1" applyAlignment="1">
      <alignment horizontal="right"/>
    </xf>
    <xf numFmtId="0" fontId="0" fillId="0" borderId="23" xfId="0" applyBorder="1" applyAlignment="1">
      <alignment horizontal="right"/>
    </xf>
    <xf numFmtId="0" fontId="0" fillId="0" borderId="45" xfId="0" applyBorder="1" applyAlignment="1">
      <alignment horizontal="right"/>
    </xf>
    <xf numFmtId="0" fontId="0" fillId="0" borderId="103" xfId="0" applyBorder="1" applyAlignment="1">
      <alignment horizontal="right"/>
    </xf>
    <xf numFmtId="0" fontId="0" fillId="0" borderId="25" xfId="0" applyBorder="1" applyAlignment="1">
      <alignment horizontal="right"/>
    </xf>
    <xf numFmtId="0" fontId="0" fillId="0" borderId="3" xfId="0" applyBorder="1" applyAlignment="1">
      <alignment horizontal="right"/>
    </xf>
    <xf numFmtId="0" fontId="0" fillId="0" borderId="2" xfId="0" applyBorder="1" applyAlignment="1">
      <alignment horizontal="right"/>
    </xf>
    <xf numFmtId="10" fontId="8" fillId="0" borderId="70" xfId="0" applyNumberFormat="1" applyFont="1" applyBorder="1" applyAlignment="1">
      <alignment horizontal="center"/>
    </xf>
    <xf numFmtId="0" fontId="0" fillId="0" borderId="94" xfId="0" applyBorder="1" applyAlignment="1">
      <alignment horizontal="center" wrapText="1"/>
    </xf>
    <xf numFmtId="0" fontId="0" fillId="0" borderId="46" xfId="0" applyBorder="1" applyAlignment="1">
      <alignment horizontal="right"/>
    </xf>
    <xf numFmtId="0" fontId="0" fillId="0" borderId="47" xfId="0" applyBorder="1" applyAlignment="1">
      <alignment horizontal="right"/>
    </xf>
    <xf numFmtId="0" fontId="0" fillId="0" borderId="63" xfId="0" applyBorder="1" applyAlignment="1">
      <alignment horizontal="center"/>
    </xf>
    <xf numFmtId="0" fontId="0" fillId="0" borderId="66" xfId="0" applyBorder="1" applyAlignment="1">
      <alignment horizontal="center"/>
    </xf>
    <xf numFmtId="0" fontId="0" fillId="0" borderId="67" xfId="0" applyBorder="1" applyAlignment="1">
      <alignment horizontal="center"/>
    </xf>
    <xf numFmtId="0" fontId="0" fillId="0" borderId="70" xfId="0" applyBorder="1" applyAlignment="1">
      <alignment horizontal="center"/>
    </xf>
    <xf numFmtId="0" fontId="13" fillId="0" borderId="0" xfId="12" applyFill="1" applyAlignment="1">
      <alignment horizontal="center"/>
    </xf>
    <xf numFmtId="164" fontId="0" fillId="0" borderId="23" xfId="0" applyNumberFormat="1" applyBorder="1" applyAlignment="1">
      <alignment horizontal="right"/>
    </xf>
    <xf numFmtId="164" fontId="0" fillId="0" borderId="103" xfId="0" applyNumberFormat="1" applyBorder="1" applyAlignment="1">
      <alignment horizontal="right"/>
    </xf>
    <xf numFmtId="0" fontId="1" fillId="0" borderId="41" xfId="7" applyBorder="1">
      <alignment horizontal="left" wrapText="1"/>
    </xf>
    <xf numFmtId="0" fontId="11" fillId="14" borderId="39" xfId="9" applyNumberFormat="1" applyBorder="1" applyAlignment="1" applyProtection="1">
      <alignment horizontal="left" wrapText="1"/>
      <protection locked="0"/>
    </xf>
    <xf numFmtId="0" fontId="1" fillId="0" borderId="58" xfId="7" applyBorder="1">
      <alignment horizontal="left" wrapText="1"/>
    </xf>
    <xf numFmtId="0" fontId="11" fillId="14" borderId="39" xfId="9" applyBorder="1" applyAlignment="1" applyProtection="1">
      <alignment horizontal="left" wrapText="1"/>
      <protection locked="0"/>
    </xf>
    <xf numFmtId="0" fontId="11" fillId="14" borderId="13" xfId="9" applyNumberFormat="1" applyBorder="1" applyAlignment="1" applyProtection="1">
      <alignment horizontal="left" wrapText="1"/>
      <protection locked="0"/>
    </xf>
    <xf numFmtId="0" fontId="11" fillId="14" borderId="13" xfId="9" applyBorder="1" applyAlignment="1" applyProtection="1">
      <alignment horizontal="left" wrapText="1"/>
      <protection locked="0"/>
    </xf>
    <xf numFmtId="0" fontId="11" fillId="14" borderId="25" xfId="9" applyNumberFormat="1" applyBorder="1" applyAlignment="1" applyProtection="1">
      <alignment horizontal="left" wrapText="1"/>
      <protection locked="0"/>
    </xf>
    <xf numFmtId="0" fontId="11" fillId="14" borderId="2" xfId="9" applyNumberFormat="1" applyBorder="1" applyAlignment="1" applyProtection="1">
      <alignment horizontal="left" wrapText="1"/>
      <protection locked="0"/>
    </xf>
    <xf numFmtId="0" fontId="11" fillId="14" borderId="4" xfId="9" applyBorder="1" applyAlignment="1" applyProtection="1">
      <alignment horizontal="left" wrapText="1"/>
      <protection locked="0"/>
    </xf>
    <xf numFmtId="0" fontId="1" fillId="0" borderId="13" xfId="7" applyBorder="1">
      <alignment horizontal="left" wrapText="1"/>
    </xf>
    <xf numFmtId="0" fontId="1" fillId="0" borderId="1" xfId="7">
      <alignment horizontal="left" wrapText="1"/>
    </xf>
    <xf numFmtId="0" fontId="1" fillId="0" borderId="14" xfId="7" applyBorder="1">
      <alignment horizontal="left" wrapText="1"/>
    </xf>
    <xf numFmtId="0" fontId="11" fillId="14" borderId="1" xfId="9" applyBorder="1" applyAlignment="1" applyProtection="1">
      <alignment horizontal="left" wrapText="1"/>
      <protection locked="0"/>
    </xf>
    <xf numFmtId="0" fontId="1" fillId="0" borderId="10" xfId="7" applyBorder="1" applyAlignment="1">
      <alignment horizontal="center" wrapText="1"/>
    </xf>
    <xf numFmtId="0" fontId="1" fillId="0" borderId="61" xfId="7" applyBorder="1" applyAlignment="1">
      <alignment horizontal="center" wrapText="1"/>
    </xf>
    <xf numFmtId="0" fontId="1" fillId="0" borderId="46" xfId="7" applyBorder="1" applyAlignment="1">
      <alignment horizontal="center" wrapText="1"/>
    </xf>
    <xf numFmtId="0" fontId="1" fillId="0" borderId="53" xfId="7" applyBorder="1" applyAlignment="1">
      <alignment horizontal="center" wrapText="1"/>
    </xf>
    <xf numFmtId="0" fontId="1" fillId="0" borderId="32" xfId="7" applyBorder="1" applyAlignment="1">
      <alignment horizontal="center" wrapText="1"/>
    </xf>
    <xf numFmtId="0" fontId="11" fillId="14" borderId="56" xfId="9" applyBorder="1" applyAlignment="1" applyProtection="1">
      <alignment horizontal="left" wrapText="1"/>
      <protection locked="0"/>
    </xf>
    <xf numFmtId="0" fontId="11" fillId="14" borderId="16" xfId="9" applyBorder="1" applyAlignment="1" applyProtection="1">
      <alignment horizontal="left" wrapText="1"/>
      <protection locked="0"/>
    </xf>
    <xf numFmtId="0" fontId="11" fillId="14" borderId="17" xfId="9" applyBorder="1" applyAlignment="1" applyProtection="1">
      <alignment horizontal="left" wrapText="1"/>
      <protection locked="0"/>
    </xf>
    <xf numFmtId="49" fontId="1" fillId="0" borderId="1" xfId="7" applyNumberFormat="1">
      <alignment horizontal="left" wrapText="1"/>
    </xf>
    <xf numFmtId="49" fontId="1" fillId="0" borderId="4" xfId="7" applyNumberFormat="1" applyBorder="1">
      <alignment horizontal="left" wrapText="1"/>
    </xf>
    <xf numFmtId="49" fontId="1" fillId="0" borderId="3" xfId="7" applyNumberFormat="1" applyBorder="1">
      <alignment horizontal="left" wrapText="1"/>
    </xf>
    <xf numFmtId="49" fontId="16" fillId="0" borderId="32" xfId="0" applyNumberFormat="1" applyFont="1" applyBorder="1" applyAlignment="1">
      <alignment horizontal="left" wrapText="1" indent="2"/>
    </xf>
    <xf numFmtId="49" fontId="16" fillId="0" borderId="0" xfId="0" applyNumberFormat="1" applyFont="1" applyAlignment="1">
      <alignment horizontal="left" wrapText="1" indent="2"/>
    </xf>
    <xf numFmtId="0" fontId="0" fillId="0" borderId="4" xfId="0" applyBorder="1" applyAlignment="1">
      <alignment horizontal="right"/>
    </xf>
    <xf numFmtId="49" fontId="1" fillId="0" borderId="2" xfId="7" applyNumberFormat="1" applyBorder="1">
      <alignment horizontal="left" wrapText="1"/>
    </xf>
    <xf numFmtId="49" fontId="1" fillId="0" borderId="35" xfId="7" applyNumberFormat="1" applyBorder="1">
      <alignment horizontal="left" wrapText="1"/>
    </xf>
    <xf numFmtId="49" fontId="1" fillId="0" borderId="36" xfId="7" applyNumberFormat="1" applyBorder="1">
      <alignment horizontal="left" wrapText="1"/>
    </xf>
    <xf numFmtId="0" fontId="0" fillId="0" borderId="4" xfId="0" applyBorder="1" applyAlignment="1">
      <alignment horizontal="center"/>
    </xf>
    <xf numFmtId="0" fontId="0" fillId="0" borderId="2" xfId="0" applyBorder="1" applyAlignment="1">
      <alignment horizontal="center"/>
    </xf>
    <xf numFmtId="3" fontId="3" fillId="0" borderId="66" xfId="6" applyNumberFormat="1" applyBorder="1">
      <alignment horizontal="center"/>
    </xf>
    <xf numFmtId="3" fontId="3" fillId="0" borderId="67" xfId="6" applyNumberFormat="1" applyBorder="1">
      <alignment horizontal="center"/>
    </xf>
    <xf numFmtId="164" fontId="0" fillId="0" borderId="65" xfId="0" applyNumberFormat="1" applyBorder="1" applyAlignment="1">
      <alignment horizontal="right"/>
    </xf>
    <xf numFmtId="164" fontId="0" fillId="0" borderId="49" xfId="0" applyNumberFormat="1" applyBorder="1" applyAlignment="1">
      <alignment horizontal="right"/>
    </xf>
    <xf numFmtId="0" fontId="0" fillId="0" borderId="42" xfId="0" applyBorder="1" applyAlignment="1">
      <alignment horizontal="right"/>
    </xf>
    <xf numFmtId="3" fontId="3" fillId="0" borderId="66" xfId="11" applyNumberFormat="1" applyFont="1" applyBorder="1" applyAlignment="1">
      <alignment horizontal="center"/>
    </xf>
    <xf numFmtId="3" fontId="3" fillId="0" borderId="67" xfId="11" applyNumberFormat="1" applyFont="1" applyBorder="1" applyAlignment="1">
      <alignment horizontal="center"/>
    </xf>
    <xf numFmtId="164" fontId="0" fillId="0" borderId="65" xfId="11" applyNumberFormat="1" applyFont="1" applyBorder="1" applyAlignment="1">
      <alignment horizontal="right"/>
    </xf>
    <xf numFmtId="164" fontId="0" fillId="0" borderId="49" xfId="11" applyNumberFormat="1" applyFont="1" applyBorder="1" applyAlignment="1">
      <alignment horizontal="right"/>
    </xf>
    <xf numFmtId="0" fontId="0" fillId="0" borderId="27" xfId="0" applyBorder="1" applyAlignment="1">
      <alignment horizontal="center"/>
    </xf>
    <xf numFmtId="0" fontId="0" fillId="0" borderId="33" xfId="0" applyBorder="1" applyAlignment="1">
      <alignment horizontal="center"/>
    </xf>
    <xf numFmtId="0" fontId="0" fillId="0" borderId="28" xfId="0" applyBorder="1" applyAlignment="1">
      <alignment horizontal="center"/>
    </xf>
    <xf numFmtId="10" fontId="0" fillId="0" borderId="13" xfId="0" applyNumberFormat="1" applyBorder="1" applyAlignment="1">
      <alignment horizontal="center"/>
    </xf>
    <xf numFmtId="10" fontId="0" fillId="0" borderId="1" xfId="0" applyNumberFormat="1" applyBorder="1" applyAlignment="1">
      <alignment horizontal="center"/>
    </xf>
    <xf numFmtId="10" fontId="0" fillId="0" borderId="14" xfId="0" applyNumberForma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15" fillId="12" borderId="63" xfId="4" applyBorder="1" applyAlignment="1">
      <alignment horizontal="center"/>
    </xf>
    <xf numFmtId="0" fontId="15" fillId="12" borderId="66" xfId="4" applyBorder="1" applyAlignment="1">
      <alignment horizontal="center"/>
    </xf>
    <xf numFmtId="0" fontId="15" fillId="12" borderId="115" xfId="4" applyBorder="1" applyAlignment="1">
      <alignment horizontal="center"/>
    </xf>
    <xf numFmtId="0" fontId="0" fillId="0" borderId="1"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56" xfId="0" applyBorder="1" applyAlignment="1">
      <alignment horizontal="center"/>
    </xf>
    <xf numFmtId="0" fontId="0" fillId="0" borderId="57" xfId="0" applyBorder="1" applyAlignment="1">
      <alignment horizontal="center"/>
    </xf>
    <xf numFmtId="3" fontId="15" fillId="12" borderId="54" xfId="4" applyNumberFormat="1" applyBorder="1" applyAlignment="1">
      <alignment horizontal="center"/>
    </xf>
    <xf numFmtId="0" fontId="15" fillId="12" borderId="33" xfId="4" applyBorder="1" applyAlignment="1">
      <alignment horizontal="center"/>
    </xf>
    <xf numFmtId="0" fontId="15" fillId="12" borderId="43" xfId="4" applyBorder="1" applyAlignment="1">
      <alignment horizontal="center"/>
    </xf>
    <xf numFmtId="3" fontId="15" fillId="12" borderId="27" xfId="4" applyNumberFormat="1" applyBorder="1" applyAlignment="1">
      <alignment horizontal="center"/>
    </xf>
    <xf numFmtId="0" fontId="15" fillId="12" borderId="28" xfId="4" applyBorder="1" applyAlignment="1">
      <alignment horizontal="center"/>
    </xf>
    <xf numFmtId="0" fontId="15" fillId="12" borderId="2" xfId="4" applyBorder="1" applyAlignment="1">
      <alignment horizontal="center"/>
    </xf>
    <xf numFmtId="0" fontId="15" fillId="12" borderId="1" xfId="4" applyBorder="1" applyAlignment="1">
      <alignment horizontal="center"/>
    </xf>
    <xf numFmtId="0" fontId="15" fillId="12" borderId="4" xfId="4" applyBorder="1" applyAlignment="1">
      <alignment horizontal="center"/>
    </xf>
    <xf numFmtId="0" fontId="15" fillId="12" borderId="13" xfId="4" applyBorder="1" applyAlignment="1">
      <alignment horizontal="center"/>
    </xf>
    <xf numFmtId="0" fontId="15" fillId="12" borderId="14" xfId="4" applyBorder="1" applyAlignment="1">
      <alignment horizontal="center"/>
    </xf>
    <xf numFmtId="0" fontId="15" fillId="12" borderId="52" xfId="4" applyBorder="1" applyAlignment="1">
      <alignment horizontal="center"/>
    </xf>
    <xf numFmtId="0" fontId="15" fillId="12" borderId="60" xfId="4" applyBorder="1" applyAlignment="1">
      <alignment horizontal="center"/>
    </xf>
    <xf numFmtId="0" fontId="15" fillId="12" borderId="39" xfId="4" applyBorder="1" applyAlignment="1">
      <alignment horizontal="center"/>
    </xf>
    <xf numFmtId="0" fontId="0" fillId="0" borderId="29" xfId="0" applyBorder="1" applyAlignment="1">
      <alignment horizontal="center"/>
    </xf>
    <xf numFmtId="0" fontId="15" fillId="12" borderId="33" xfId="4" applyNumberFormat="1" applyBorder="1" applyAlignment="1">
      <alignment horizontal="center"/>
    </xf>
    <xf numFmtId="0" fontId="15" fillId="12" borderId="43" xfId="4" applyNumberFormat="1" applyBorder="1" applyAlignment="1">
      <alignment horizontal="center"/>
    </xf>
    <xf numFmtId="0" fontId="15" fillId="12" borderId="27" xfId="4" applyNumberFormat="1" applyBorder="1" applyAlignment="1">
      <alignment horizontal="center"/>
    </xf>
    <xf numFmtId="0" fontId="15" fillId="12" borderId="28" xfId="4" applyNumberFormat="1" applyBorder="1" applyAlignment="1">
      <alignment horizontal="center"/>
    </xf>
    <xf numFmtId="0" fontId="0" fillId="0" borderId="20" xfId="0" applyBorder="1" applyAlignment="1">
      <alignment horizontal="center"/>
    </xf>
    <xf numFmtId="0" fontId="0" fillId="0" borderId="1" xfId="0" applyBorder="1" applyAlignment="1">
      <alignment horizontal="center" wrapText="1"/>
    </xf>
    <xf numFmtId="0" fontId="0" fillId="0" borderId="4" xfId="0"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center" wrapText="1"/>
    </xf>
    <xf numFmtId="0" fontId="15" fillId="12" borderId="54" xfId="4" applyNumberFormat="1" applyBorder="1" applyAlignment="1">
      <alignment horizontal="center"/>
    </xf>
    <xf numFmtId="3" fontId="3" fillId="0" borderId="27" xfId="11" applyNumberFormat="1" applyFont="1" applyBorder="1" applyAlignment="1">
      <alignment horizontal="center"/>
    </xf>
    <xf numFmtId="0" fontId="3" fillId="0" borderId="33" xfId="11" applyNumberFormat="1" applyFont="1" applyBorder="1" applyAlignment="1">
      <alignment horizontal="center"/>
    </xf>
    <xf numFmtId="0" fontId="3" fillId="0" borderId="28" xfId="11" applyNumberFormat="1" applyFont="1" applyBorder="1" applyAlignment="1">
      <alignment horizontal="center"/>
    </xf>
    <xf numFmtId="1" fontId="0" fillId="0" borderId="13" xfId="11" applyNumberFormat="1" applyFont="1" applyBorder="1" applyAlignment="1">
      <alignment horizontal="center"/>
    </xf>
    <xf numFmtId="0" fontId="0" fillId="0" borderId="1" xfId="11" applyFont="1" applyBorder="1" applyAlignment="1">
      <alignment horizontal="center"/>
    </xf>
    <xf numFmtId="0" fontId="0" fillId="0" borderId="14" xfId="11" applyFont="1" applyBorder="1" applyAlignment="1">
      <alignment horizontal="center"/>
    </xf>
    <xf numFmtId="1" fontId="0" fillId="9" borderId="13" xfId="0" applyNumberFormat="1" applyFill="1" applyBorder="1" applyAlignment="1">
      <alignment horizontal="center" wrapText="1"/>
    </xf>
    <xf numFmtId="0" fontId="0" fillId="9" borderId="1" xfId="0" applyFill="1" applyBorder="1" applyAlignment="1">
      <alignment horizontal="center" wrapText="1"/>
    </xf>
    <xf numFmtId="0" fontId="0" fillId="9" borderId="14" xfId="0" applyFill="1" applyBorder="1" applyAlignment="1">
      <alignment horizontal="center" wrapText="1"/>
    </xf>
    <xf numFmtId="3" fontId="1" fillId="0" borderId="54" xfId="11" applyNumberFormat="1" applyFont="1" applyBorder="1" applyAlignment="1">
      <alignment horizontal="center" vertical="center" wrapText="1"/>
    </xf>
    <xf numFmtId="0" fontId="1" fillId="0" borderId="33" xfId="11" applyNumberFormat="1" applyFont="1" applyBorder="1" applyAlignment="1">
      <alignment horizontal="center" vertical="center" wrapText="1"/>
    </xf>
    <xf numFmtId="0" fontId="1" fillId="0" borderId="28" xfId="11" applyNumberFormat="1" applyFont="1" applyBorder="1" applyAlignment="1">
      <alignment horizontal="center" vertical="center" wrapText="1"/>
    </xf>
    <xf numFmtId="1" fontId="0" fillId="9" borderId="2" xfId="0" applyNumberFormat="1" applyFill="1" applyBorder="1" applyAlignment="1">
      <alignment horizontal="center" wrapText="1"/>
    </xf>
    <xf numFmtId="3" fontId="3" fillId="0" borderId="6" xfId="6" applyNumberFormat="1" applyBorder="1">
      <alignment horizontal="center"/>
    </xf>
    <xf numFmtId="0" fontId="3" fillId="0" borderId="0" xfId="6" applyNumberFormat="1" applyBorder="1">
      <alignment horizontal="center"/>
    </xf>
    <xf numFmtId="3" fontId="3" fillId="0" borderId="32" xfId="11" applyNumberFormat="1" applyFont="1" applyBorder="1" applyAlignment="1">
      <alignment horizontal="center"/>
    </xf>
    <xf numFmtId="0" fontId="3" fillId="0" borderId="0" xfId="11" applyNumberFormat="1" applyFont="1" applyBorder="1" applyAlignment="1">
      <alignment horizontal="center"/>
    </xf>
    <xf numFmtId="3" fontId="3" fillId="0" borderId="32" xfId="6" applyNumberFormat="1" applyBorder="1">
      <alignment horizontal="center"/>
    </xf>
    <xf numFmtId="0" fontId="3" fillId="0" borderId="34" xfId="6" applyNumberFormat="1" applyBorder="1">
      <alignment horizontal="center"/>
    </xf>
    <xf numFmtId="3" fontId="3" fillId="0" borderId="33" xfId="6" applyNumberFormat="1" applyBorder="1">
      <alignment horizontal="center"/>
    </xf>
    <xf numFmtId="0" fontId="3" fillId="0" borderId="33" xfId="6" applyNumberFormat="1" applyBorder="1">
      <alignment horizontal="center"/>
    </xf>
    <xf numFmtId="0" fontId="3" fillId="0" borderId="43" xfId="6" applyNumberFormat="1" applyBorder="1">
      <alignment horizontal="center"/>
    </xf>
    <xf numFmtId="0" fontId="3" fillId="0" borderId="43" xfId="11" applyNumberFormat="1" applyFont="1" applyBorder="1" applyAlignment="1">
      <alignment horizontal="center"/>
    </xf>
    <xf numFmtId="3" fontId="3" fillId="0" borderId="27" xfId="6" applyNumberFormat="1" applyBorder="1">
      <alignment horizontal="center"/>
    </xf>
    <xf numFmtId="0" fontId="3" fillId="0" borderId="28" xfId="6" applyNumberFormat="1" applyBorder="1">
      <alignment horizontal="center"/>
    </xf>
    <xf numFmtId="0" fontId="1" fillId="0" borderId="50" xfId="7" applyBorder="1">
      <alignment horizontal="left" wrapText="1"/>
    </xf>
    <xf numFmtId="0" fontId="1" fillId="0" borderId="99" xfId="7" applyBorder="1">
      <alignment horizontal="left" wrapText="1"/>
    </xf>
    <xf numFmtId="1" fontId="0" fillId="0" borderId="1" xfId="0" applyNumberFormat="1" applyBorder="1" applyAlignment="1">
      <alignment horizontal="center"/>
    </xf>
    <xf numFmtId="1" fontId="0" fillId="0" borderId="4" xfId="0" applyNumberFormat="1" applyBorder="1" applyAlignment="1">
      <alignment horizontal="center"/>
    </xf>
    <xf numFmtId="1" fontId="0" fillId="0" borderId="13" xfId="0" applyNumberFormat="1" applyBorder="1" applyAlignment="1">
      <alignment horizontal="center"/>
    </xf>
    <xf numFmtId="1" fontId="0" fillId="0" borderId="14" xfId="0" applyNumberFormat="1" applyBorder="1" applyAlignment="1">
      <alignment horizontal="center"/>
    </xf>
    <xf numFmtId="0" fontId="1" fillId="0" borderId="50" xfId="0" applyFont="1" applyBorder="1" applyAlignment="1">
      <alignment horizontal="left" wrapText="1"/>
    </xf>
    <xf numFmtId="0" fontId="1" fillId="0" borderId="99" xfId="0" applyFont="1" applyBorder="1" applyAlignment="1">
      <alignment horizontal="left" wrapText="1"/>
    </xf>
    <xf numFmtId="10" fontId="11" fillId="14" borderId="1" xfId="9" applyNumberFormat="1" applyBorder="1" applyAlignment="1" applyProtection="1">
      <alignment horizontal="center"/>
      <protection locked="0"/>
    </xf>
    <xf numFmtId="10" fontId="11" fillId="14" borderId="4" xfId="9" applyNumberFormat="1" applyBorder="1" applyAlignment="1" applyProtection="1">
      <alignment horizontal="center"/>
      <protection locked="0"/>
    </xf>
    <xf numFmtId="10" fontId="11" fillId="14" borderId="13" xfId="9" applyNumberFormat="1" applyBorder="1" applyAlignment="1" applyProtection="1">
      <alignment horizontal="center"/>
      <protection locked="0"/>
    </xf>
    <xf numFmtId="10" fontId="11" fillId="14" borderId="14" xfId="9" applyNumberFormat="1" applyBorder="1" applyAlignment="1" applyProtection="1">
      <alignment horizontal="center"/>
      <protection locked="0"/>
    </xf>
    <xf numFmtId="3" fontId="3" fillId="0" borderId="56" xfId="6" applyNumberFormat="1" applyFill="1" applyBorder="1">
      <alignment horizontal="center"/>
    </xf>
    <xf numFmtId="3" fontId="3" fillId="0" borderId="4" xfId="6" applyNumberFormat="1" applyFill="1" applyBorder="1">
      <alignment horizontal="center"/>
    </xf>
    <xf numFmtId="3" fontId="3" fillId="0" borderId="28" xfId="11" applyNumberFormat="1" applyFont="1" applyBorder="1" applyAlignment="1">
      <alignment horizontal="center"/>
    </xf>
    <xf numFmtId="3" fontId="3" fillId="0" borderId="2" xfId="6" applyNumberFormat="1" applyFill="1" applyBorder="1">
      <alignment horizontal="center"/>
    </xf>
    <xf numFmtId="3" fontId="3" fillId="0" borderId="1" xfId="6" applyNumberFormat="1" applyFill="1" applyBorder="1">
      <alignment horizontal="center"/>
    </xf>
    <xf numFmtId="164" fontId="0" fillId="0" borderId="44" xfId="0" applyNumberFormat="1" applyBorder="1" applyAlignment="1">
      <alignment horizontal="right"/>
    </xf>
    <xf numFmtId="164" fontId="0" fillId="0" borderId="44" xfId="11" applyNumberFormat="1" applyFont="1" applyBorder="1" applyAlignment="1">
      <alignment horizontal="right"/>
    </xf>
    <xf numFmtId="3" fontId="3" fillId="0" borderId="60" xfId="11" applyNumberFormat="1" applyFont="1" applyBorder="1" applyAlignment="1">
      <alignment horizontal="center"/>
    </xf>
    <xf numFmtId="3" fontId="3" fillId="0" borderId="90" xfId="11" applyNumberFormat="1" applyFont="1" applyBorder="1" applyAlignment="1">
      <alignment horizontal="center"/>
    </xf>
    <xf numFmtId="3" fontId="3" fillId="0" borderId="60" xfId="6" applyNumberFormat="1" applyBorder="1">
      <alignment horizontal="center"/>
    </xf>
    <xf numFmtId="3" fontId="3" fillId="0" borderId="90" xfId="6" applyNumberFormat="1" applyBorder="1">
      <alignment horizontal="center"/>
    </xf>
    <xf numFmtId="0" fontId="16" fillId="0" borderId="1" xfId="0" applyFont="1" applyBorder="1" applyAlignment="1">
      <alignment horizontal="left" indent="2"/>
    </xf>
    <xf numFmtId="0" fontId="16" fillId="0" borderId="1" xfId="0" applyFont="1" applyBorder="1" applyAlignment="1">
      <alignment horizontal="left" wrapText="1" indent="2"/>
    </xf>
    <xf numFmtId="1" fontId="0" fillId="8" borderId="33" xfId="0" applyNumberFormat="1" applyFill="1" applyBorder="1" applyAlignment="1">
      <alignment horizontal="center" wrapText="1"/>
    </xf>
    <xf numFmtId="1" fontId="0" fillId="8" borderId="28" xfId="0" applyNumberFormat="1" applyFill="1" applyBorder="1" applyAlignment="1">
      <alignment horizontal="center" wrapText="1"/>
    </xf>
    <xf numFmtId="1" fontId="0" fillId="8" borderId="1" xfId="0" applyNumberFormat="1" applyFill="1" applyBorder="1" applyAlignment="1">
      <alignment horizontal="center" wrapText="1"/>
    </xf>
    <xf numFmtId="1" fontId="0" fillId="8" borderId="14" xfId="0" applyNumberFormat="1" applyFill="1" applyBorder="1" applyAlignment="1">
      <alignment horizontal="center" wrapText="1"/>
    </xf>
    <xf numFmtId="164" fontId="0" fillId="0" borderId="17" xfId="11" applyNumberFormat="1" applyFont="1" applyBorder="1" applyAlignment="1">
      <alignment horizontal="center"/>
    </xf>
    <xf numFmtId="0" fontId="1" fillId="0" borderId="4" xfId="7" applyBorder="1">
      <alignment horizontal="left" wrapText="1"/>
    </xf>
    <xf numFmtId="0" fontId="1" fillId="0" borderId="3" xfId="7" applyBorder="1">
      <alignment horizontal="left" wrapText="1"/>
    </xf>
    <xf numFmtId="0" fontId="1" fillId="0" borderId="2" xfId="7" applyBorder="1">
      <alignment horizontal="left" wrapText="1"/>
    </xf>
    <xf numFmtId="3" fontId="3" fillId="0" borderId="52" xfId="11" applyNumberFormat="1" applyFont="1" applyBorder="1" applyAlignment="1">
      <alignment horizontal="center"/>
    </xf>
    <xf numFmtId="0" fontId="0" fillId="0" borderId="41" xfId="0" applyBorder="1" applyAlignment="1">
      <alignment horizontal="right"/>
    </xf>
    <xf numFmtId="0" fontId="0" fillId="0" borderId="58" xfId="0" applyBorder="1" applyAlignment="1">
      <alignment horizontal="right"/>
    </xf>
    <xf numFmtId="164" fontId="0" fillId="0" borderId="17" xfId="0" applyNumberFormat="1" applyBorder="1" applyAlignment="1">
      <alignment horizontal="center"/>
    </xf>
    <xf numFmtId="3" fontId="3" fillId="0" borderId="52" xfId="6" applyNumberFormat="1" applyBorder="1">
      <alignment horizontal="center"/>
    </xf>
    <xf numFmtId="0" fontId="11" fillId="0" borderId="0" xfId="9" applyFill="1" applyBorder="1" applyAlignment="1">
      <alignment horizontal="center"/>
    </xf>
    <xf numFmtId="3" fontId="3" fillId="0" borderId="56" xfId="6" applyNumberFormat="1" applyBorder="1">
      <alignment horizontal="center"/>
    </xf>
    <xf numFmtId="164" fontId="0" fillId="0" borderId="55" xfId="0" applyNumberFormat="1" applyBorder="1" applyAlignment="1">
      <alignment horizontal="center"/>
    </xf>
    <xf numFmtId="1" fontId="0" fillId="0" borderId="0" xfId="0" applyNumberFormat="1" applyAlignment="1">
      <alignment horizontal="center" wrapText="1"/>
    </xf>
    <xf numFmtId="0" fontId="1" fillId="0" borderId="0" xfId="7" applyBorder="1">
      <alignment horizontal="left" wrapText="1"/>
    </xf>
    <xf numFmtId="1" fontId="1" fillId="0" borderId="1" xfId="7" applyNumberFormat="1">
      <alignment horizontal="left" wrapText="1"/>
    </xf>
    <xf numFmtId="0" fontId="16" fillId="0" borderId="35" xfId="0" applyFont="1" applyBorder="1" applyAlignment="1">
      <alignment horizontal="left" indent="2"/>
    </xf>
    <xf numFmtId="0" fontId="0" fillId="0" borderId="0" xfId="11" applyFont="1" applyBorder="1" applyAlignment="1">
      <alignment horizontal="center"/>
    </xf>
    <xf numFmtId="1" fontId="11" fillId="14" borderId="7" xfId="9" applyNumberFormat="1" applyAlignment="1" applyProtection="1">
      <alignment horizontal="center"/>
      <protection locked="0"/>
    </xf>
    <xf numFmtId="10" fontId="11" fillId="14" borderId="7" xfId="9" applyNumberFormat="1" applyAlignment="1" applyProtection="1">
      <alignment horizontal="center"/>
      <protection locked="0"/>
    </xf>
    <xf numFmtId="10" fontId="11" fillId="14" borderId="15" xfId="9" applyNumberFormat="1" applyBorder="1" applyAlignment="1" applyProtection="1">
      <alignment horizontal="center"/>
      <protection locked="0"/>
    </xf>
    <xf numFmtId="10" fontId="0" fillId="0" borderId="0" xfId="11" applyNumberFormat="1" applyFont="1" applyBorder="1" applyAlignment="1">
      <alignment horizontal="center"/>
    </xf>
    <xf numFmtId="3" fontId="0" fillId="0" borderId="50" xfId="0" applyNumberFormat="1" applyBorder="1" applyAlignment="1">
      <alignment horizontal="center"/>
    </xf>
    <xf numFmtId="3" fontId="0" fillId="0" borderId="32" xfId="0" applyNumberFormat="1" applyBorder="1" applyAlignment="1">
      <alignment horizontal="center"/>
    </xf>
    <xf numFmtId="0" fontId="0" fillId="0" borderId="32" xfId="0" applyBorder="1" applyAlignment="1">
      <alignment horizontal="center"/>
    </xf>
    <xf numFmtId="3" fontId="0" fillId="0" borderId="99" xfId="0" applyNumberFormat="1" applyBorder="1" applyAlignment="1">
      <alignment horizontal="center"/>
    </xf>
    <xf numFmtId="164" fontId="0" fillId="0" borderId="41" xfId="0" applyNumberFormat="1" applyBorder="1" applyAlignment="1">
      <alignment horizontal="right" wrapText="1"/>
    </xf>
    <xf numFmtId="164" fontId="0" fillId="0" borderId="58" xfId="0" applyNumberFormat="1" applyBorder="1" applyAlignment="1">
      <alignment horizontal="right" wrapText="1"/>
    </xf>
    <xf numFmtId="0" fontId="1" fillId="0" borderId="52" xfId="7" applyBorder="1" applyAlignment="1">
      <alignment horizontal="center" wrapText="1"/>
    </xf>
    <xf numFmtId="0" fontId="1" fillId="0" borderId="90" xfId="7" applyBorder="1" applyAlignment="1">
      <alignment horizontal="center" wrapText="1"/>
    </xf>
    <xf numFmtId="0" fontId="0" fillId="0" borderId="131" xfId="11" applyFont="1" applyBorder="1" applyAlignment="1">
      <alignment horizontal="center"/>
    </xf>
    <xf numFmtId="0" fontId="0" fillId="0" borderId="47" xfId="11" applyFont="1" applyBorder="1" applyAlignment="1">
      <alignment horizontal="center"/>
    </xf>
    <xf numFmtId="0" fontId="0" fillId="0" borderId="42" xfId="11" applyFont="1" applyBorder="1" applyAlignment="1">
      <alignment horizontal="center"/>
    </xf>
    <xf numFmtId="10" fontId="0" fillId="0" borderId="131" xfId="11" applyNumberFormat="1" applyFont="1" applyBorder="1" applyAlignment="1">
      <alignment horizontal="center"/>
    </xf>
    <xf numFmtId="10" fontId="0" fillId="0" borderId="47" xfId="11" applyNumberFormat="1" applyFont="1" applyBorder="1" applyAlignment="1">
      <alignment horizontal="center"/>
    </xf>
    <xf numFmtId="10" fontId="0" fillId="0" borderId="48" xfId="11" applyNumberFormat="1" applyFont="1" applyBorder="1" applyAlignment="1">
      <alignment horizontal="center"/>
    </xf>
    <xf numFmtId="0" fontId="3" fillId="0" borderId="52" xfId="6" applyNumberFormat="1" applyFill="1" applyBorder="1">
      <alignment horizontal="center"/>
    </xf>
    <xf numFmtId="0" fontId="3" fillId="0" borderId="70" xfId="6" applyNumberFormat="1" applyFill="1" applyBorder="1">
      <alignment horizontal="center"/>
    </xf>
    <xf numFmtId="0" fontId="3" fillId="0" borderId="94" xfId="6" applyNumberFormat="1" applyFill="1" applyBorder="1">
      <alignment horizontal="center"/>
    </xf>
    <xf numFmtId="0" fontId="0" fillId="0" borderId="54" xfId="11" applyFont="1" applyBorder="1" applyAlignment="1">
      <alignment horizontal="center"/>
    </xf>
    <xf numFmtId="0" fontId="0" fillId="0" borderId="33" xfId="11" applyFont="1" applyBorder="1" applyAlignment="1">
      <alignment horizontal="center"/>
    </xf>
    <xf numFmtId="0" fontId="0" fillId="0" borderId="43" xfId="11" applyFont="1" applyBorder="1" applyAlignment="1">
      <alignment horizontal="center"/>
    </xf>
    <xf numFmtId="1" fontId="0" fillId="0" borderId="27" xfId="0" applyNumberFormat="1" applyBorder="1" applyAlignment="1">
      <alignment horizontal="center"/>
    </xf>
    <xf numFmtId="1" fontId="0" fillId="0" borderId="33" xfId="0" applyNumberFormat="1" applyBorder="1" applyAlignment="1">
      <alignment horizontal="center"/>
    </xf>
    <xf numFmtId="1" fontId="0" fillId="0" borderId="28" xfId="0" applyNumberFormat="1" applyBorder="1" applyAlignment="1">
      <alignment horizontal="center"/>
    </xf>
    <xf numFmtId="0" fontId="0" fillId="0" borderId="28" xfId="11" applyFont="1" applyBorder="1" applyAlignment="1">
      <alignment horizontal="center"/>
    </xf>
    <xf numFmtId="1" fontId="11" fillId="14" borderId="71" xfId="9" applyNumberFormat="1" applyBorder="1" applyAlignment="1" applyProtection="1">
      <alignment horizontal="center"/>
      <protection locked="0"/>
    </xf>
    <xf numFmtId="1" fontId="11" fillId="14" borderId="72" xfId="9" applyNumberFormat="1" applyBorder="1" applyAlignment="1" applyProtection="1">
      <alignment horizontal="center"/>
      <protection locked="0"/>
    </xf>
    <xf numFmtId="1" fontId="11" fillId="14" borderId="75" xfId="9" applyNumberFormat="1" applyBorder="1" applyAlignment="1" applyProtection="1">
      <alignment horizontal="center"/>
      <protection locked="0"/>
    </xf>
    <xf numFmtId="3" fontId="3" fillId="0" borderId="0" xfId="6" applyNumberFormat="1" applyBorder="1">
      <alignment horizontal="center"/>
    </xf>
    <xf numFmtId="10" fontId="11" fillId="14" borderId="8" xfId="9" applyNumberFormat="1" applyBorder="1" applyAlignment="1" applyProtection="1">
      <alignment horizontal="center"/>
      <protection locked="0"/>
    </xf>
    <xf numFmtId="1" fontId="11" fillId="14" borderId="102" xfId="9" applyNumberFormat="1" applyBorder="1" applyAlignment="1" applyProtection="1">
      <alignment horizontal="center"/>
      <protection locked="0"/>
    </xf>
    <xf numFmtId="10" fontId="11" fillId="14" borderId="102" xfId="9" applyNumberFormat="1" applyBorder="1" applyAlignment="1" applyProtection="1">
      <alignment horizontal="center"/>
      <protection locked="0"/>
    </xf>
    <xf numFmtId="10" fontId="11" fillId="14" borderId="74" xfId="9" applyNumberFormat="1" applyBorder="1" applyAlignment="1" applyProtection="1">
      <alignment horizontal="center"/>
      <protection locked="0"/>
    </xf>
    <xf numFmtId="10" fontId="11" fillId="14" borderId="75" xfId="9" applyNumberFormat="1" applyBorder="1" applyAlignment="1" applyProtection="1">
      <alignment horizontal="center"/>
      <protection locked="0"/>
    </xf>
    <xf numFmtId="10" fontId="11" fillId="14" borderId="73" xfId="9" applyNumberFormat="1" applyBorder="1" applyAlignment="1" applyProtection="1">
      <alignment horizontal="center"/>
      <protection locked="0"/>
    </xf>
    <xf numFmtId="0" fontId="0" fillId="0" borderId="62" xfId="11" applyFont="1" applyBorder="1" applyAlignment="1">
      <alignment horizontal="center"/>
    </xf>
    <xf numFmtId="0" fontId="0" fillId="0" borderId="38" xfId="11" applyFont="1" applyBorder="1" applyAlignment="1">
      <alignment horizontal="center"/>
    </xf>
    <xf numFmtId="0" fontId="0" fillId="0" borderId="100" xfId="11" applyFont="1" applyBorder="1" applyAlignment="1">
      <alignment horizontal="center"/>
    </xf>
    <xf numFmtId="10" fontId="0" fillId="0" borderId="62" xfId="11" applyNumberFormat="1" applyFont="1" applyBorder="1" applyAlignment="1">
      <alignment horizontal="center"/>
    </xf>
    <xf numFmtId="10" fontId="0" fillId="0" borderId="38" xfId="11" applyNumberFormat="1" applyFont="1" applyBorder="1" applyAlignment="1">
      <alignment horizontal="center"/>
    </xf>
    <xf numFmtId="10" fontId="0" fillId="0" borderId="30" xfId="11" applyNumberFormat="1" applyFont="1" applyBorder="1" applyAlignment="1">
      <alignment horizontal="center"/>
    </xf>
    <xf numFmtId="3" fontId="3" fillId="0" borderId="52" xfId="6" applyNumberFormat="1" applyFill="1" applyBorder="1">
      <alignment horizontal="center"/>
    </xf>
    <xf numFmtId="3" fontId="3" fillId="0" borderId="70" xfId="6" applyNumberFormat="1" applyFill="1" applyBorder="1">
      <alignment horizontal="center"/>
    </xf>
    <xf numFmtId="3" fontId="3" fillId="0" borderId="94" xfId="6" applyNumberFormat="1" applyFill="1" applyBorder="1">
      <alignment horizontal="center"/>
    </xf>
    <xf numFmtId="0" fontId="15" fillId="12" borderId="55" xfId="4" applyBorder="1" applyAlignment="1">
      <alignment horizontal="center" wrapText="1"/>
    </xf>
    <xf numFmtId="0" fontId="15" fillId="12" borderId="1" xfId="4" applyBorder="1" applyAlignment="1">
      <alignment horizontal="center" wrapText="1"/>
    </xf>
    <xf numFmtId="0" fontId="1" fillId="0" borderId="63" xfId="7" applyBorder="1" applyAlignment="1">
      <alignment horizontal="center" wrapText="1"/>
    </xf>
    <xf numFmtId="0" fontId="1" fillId="0" borderId="67" xfId="7" applyBorder="1" applyAlignment="1">
      <alignment horizontal="center" wrapText="1"/>
    </xf>
    <xf numFmtId="0" fontId="1" fillId="0" borderId="23" xfId="7" applyBorder="1" applyAlignment="1">
      <alignment horizontal="center" wrapText="1"/>
    </xf>
    <xf numFmtId="0" fontId="1" fillId="0" borderId="24" xfId="7" applyBorder="1" applyAlignment="1">
      <alignment horizontal="center" wrapText="1"/>
    </xf>
    <xf numFmtId="0" fontId="0" fillId="0" borderId="39" xfId="11" applyFont="1" applyBorder="1" applyAlignment="1">
      <alignment horizontal="center"/>
    </xf>
    <xf numFmtId="0" fontId="0" fillId="0" borderId="35" xfId="11" applyFont="1" applyBorder="1" applyAlignment="1">
      <alignment horizontal="center"/>
    </xf>
    <xf numFmtId="0" fontId="0" fillId="0" borderId="40" xfId="11" applyFont="1" applyBorder="1" applyAlignment="1">
      <alignment horizontal="center"/>
    </xf>
    <xf numFmtId="1" fontId="0" fillId="0" borderId="39" xfId="0" applyNumberFormat="1" applyBorder="1" applyAlignment="1">
      <alignment horizontal="center"/>
    </xf>
    <xf numFmtId="1" fontId="0" fillId="0" borderId="35" xfId="0" applyNumberFormat="1" applyBorder="1" applyAlignment="1">
      <alignment horizontal="center"/>
    </xf>
    <xf numFmtId="1" fontId="0" fillId="0" borderId="36" xfId="0" applyNumberFormat="1" applyBorder="1" applyAlignment="1">
      <alignment horizontal="center"/>
    </xf>
    <xf numFmtId="3" fontId="0" fillId="0" borderId="1" xfId="0" applyNumberFormat="1" applyBorder="1" applyAlignment="1">
      <alignment horizontal="center" vertical="center"/>
    </xf>
    <xf numFmtId="3" fontId="0" fillId="0" borderId="4" xfId="0" applyNumberFormat="1" applyBorder="1" applyAlignment="1">
      <alignment horizontal="center" vertical="center"/>
    </xf>
    <xf numFmtId="3" fontId="0" fillId="0" borderId="29" xfId="0" applyNumberFormat="1" applyBorder="1" applyAlignment="1">
      <alignment horizontal="center" vertical="center"/>
    </xf>
    <xf numFmtId="0" fontId="16" fillId="0" borderId="41" xfId="0" applyFont="1" applyBorder="1" applyAlignment="1">
      <alignment horizontal="right" wrapText="1"/>
    </xf>
    <xf numFmtId="0" fontId="16" fillId="0" borderId="58" xfId="0" applyFont="1" applyBorder="1" applyAlignment="1">
      <alignment horizontal="right" wrapText="1"/>
    </xf>
    <xf numFmtId="0" fontId="16" fillId="0" borderId="52" xfId="0" applyFont="1" applyBorder="1" applyAlignment="1">
      <alignment horizontal="right" wrapText="1"/>
    </xf>
    <xf numFmtId="0" fontId="16" fillId="0" borderId="70" xfId="0" applyFont="1" applyBorder="1" applyAlignment="1">
      <alignment horizontal="right" wrapText="1"/>
    </xf>
    <xf numFmtId="164" fontId="0" fillId="0" borderId="52" xfId="0" applyNumberFormat="1" applyBorder="1" applyAlignment="1">
      <alignment horizontal="right"/>
    </xf>
    <xf numFmtId="164" fontId="0" fillId="0" borderId="70" xfId="0" applyNumberFormat="1" applyBorder="1" applyAlignment="1">
      <alignment horizontal="right"/>
    </xf>
    <xf numFmtId="164" fontId="0" fillId="0" borderId="58" xfId="0" applyNumberFormat="1" applyBorder="1" applyAlignment="1">
      <alignment horizontal="right"/>
    </xf>
    <xf numFmtId="164" fontId="0" fillId="0" borderId="47" xfId="0" applyNumberFormat="1" applyBorder="1" applyAlignment="1">
      <alignment horizontal="right"/>
    </xf>
    <xf numFmtId="164" fontId="0" fillId="0" borderId="42" xfId="0" applyNumberFormat="1" applyBorder="1" applyAlignment="1">
      <alignment horizontal="right"/>
    </xf>
    <xf numFmtId="3" fontId="3" fillId="13" borderId="61" xfId="6" applyNumberFormat="1" applyFill="1" applyBorder="1" applyAlignment="1">
      <alignment horizontal="center" wrapText="1"/>
    </xf>
    <xf numFmtId="3" fontId="3" fillId="13" borderId="76" xfId="6" applyNumberFormat="1" applyFill="1" applyBorder="1" applyAlignment="1">
      <alignment horizontal="center" wrapText="1"/>
    </xf>
    <xf numFmtId="3" fontId="3" fillId="13" borderId="77" xfId="6" applyNumberFormat="1" applyFill="1" applyBorder="1" applyAlignment="1">
      <alignment horizontal="center" wrapText="1"/>
    </xf>
    <xf numFmtId="0" fontId="53" fillId="0" borderId="46" xfId="0" applyFont="1" applyBorder="1" applyAlignment="1">
      <alignment horizontal="center" vertical="center"/>
    </xf>
    <xf numFmtId="0" fontId="53" fillId="0" borderId="48" xfId="0" applyFont="1" applyBorder="1" applyAlignment="1">
      <alignment horizontal="center" vertical="center"/>
    </xf>
    <xf numFmtId="0" fontId="1" fillId="0" borderId="47" xfId="0" applyFont="1" applyBorder="1" applyAlignment="1">
      <alignment horizontal="center"/>
    </xf>
    <xf numFmtId="0" fontId="1" fillId="0" borderId="48" xfId="0" applyFont="1" applyBorder="1" applyAlignment="1">
      <alignment horizontal="center"/>
    </xf>
    <xf numFmtId="3" fontId="3" fillId="0" borderId="61" xfId="6" applyNumberFormat="1" applyBorder="1">
      <alignment horizontal="center"/>
    </xf>
    <xf numFmtId="3" fontId="3" fillId="0" borderId="76" xfId="6" applyNumberFormat="1" applyBorder="1">
      <alignment horizontal="center"/>
    </xf>
    <xf numFmtId="3" fontId="3" fillId="0" borderId="77" xfId="6" applyNumberFormat="1" applyBorder="1">
      <alignment horizontal="center"/>
    </xf>
    <xf numFmtId="3" fontId="3" fillId="13" borderId="61" xfId="6" applyNumberFormat="1" applyFill="1" applyBorder="1">
      <alignment horizontal="center"/>
    </xf>
    <xf numFmtId="3" fontId="3" fillId="13" borderId="76" xfId="6" applyNumberFormat="1" applyFill="1" applyBorder="1">
      <alignment horizontal="center"/>
    </xf>
    <xf numFmtId="3" fontId="3" fillId="13" borderId="77" xfId="6" applyNumberFormat="1" applyFill="1" applyBorder="1">
      <alignment horizontal="center"/>
    </xf>
    <xf numFmtId="164" fontId="0" fillId="0" borderId="47" xfId="11" applyNumberFormat="1" applyFont="1" applyBorder="1" applyAlignment="1">
      <alignment horizontal="right"/>
    </xf>
    <xf numFmtId="164" fontId="0" fillId="0" borderId="42" xfId="11" applyNumberFormat="1" applyFont="1" applyBorder="1" applyAlignment="1">
      <alignment horizontal="right"/>
    </xf>
    <xf numFmtId="3" fontId="3" fillId="0" borderId="63" xfId="6" applyNumberFormat="1" applyBorder="1">
      <alignment horizontal="center"/>
    </xf>
    <xf numFmtId="0" fontId="14" fillId="0" borderId="0" xfId="0" applyFont="1" applyAlignment="1">
      <alignment horizontal="left"/>
    </xf>
    <xf numFmtId="0" fontId="1" fillId="0" borderId="46" xfId="0" applyFont="1" applyBorder="1" applyAlignment="1">
      <alignment horizontal="center"/>
    </xf>
    <xf numFmtId="3" fontId="3" fillId="0" borderId="10" xfId="6" applyNumberFormat="1" applyFill="1" applyBorder="1">
      <alignment horizontal="center"/>
    </xf>
    <xf numFmtId="3" fontId="3" fillId="0" borderId="12" xfId="6" applyNumberFormat="1" applyFill="1" applyBorder="1">
      <alignment horizontal="center"/>
    </xf>
    <xf numFmtId="3" fontId="3" fillId="0" borderId="33" xfId="6" applyNumberFormat="1" applyFill="1" applyBorder="1">
      <alignment horizontal="center"/>
    </xf>
    <xf numFmtId="3" fontId="3" fillId="0" borderId="28" xfId="6" applyNumberFormat="1" applyFill="1" applyBorder="1">
      <alignment horizontal="center"/>
    </xf>
    <xf numFmtId="3" fontId="0" fillId="0" borderId="55" xfId="6" applyNumberFormat="1" applyFont="1" applyFill="1" applyBorder="1">
      <alignment horizontal="center"/>
    </xf>
    <xf numFmtId="3" fontId="0" fillId="0" borderId="57" xfId="6" applyNumberFormat="1" applyFont="1" applyFill="1" applyBorder="1">
      <alignment horizontal="center"/>
    </xf>
    <xf numFmtId="0" fontId="1" fillId="0" borderId="46" xfId="7" applyBorder="1">
      <alignment horizontal="left" wrapText="1"/>
    </xf>
    <xf numFmtId="0" fontId="1" fillId="0" borderId="47" xfId="7" applyBorder="1">
      <alignment horizontal="left" wrapText="1"/>
    </xf>
    <xf numFmtId="0" fontId="1" fillId="0" borderId="48" xfId="7" applyBorder="1">
      <alignment horizontal="left" wrapText="1"/>
    </xf>
    <xf numFmtId="164" fontId="0" fillId="0" borderId="46" xfId="0" applyNumberFormat="1" applyBorder="1" applyAlignment="1">
      <alignment horizontal="right"/>
    </xf>
    <xf numFmtId="0" fontId="16" fillId="0" borderId="0" xfId="0" applyFont="1" applyAlignment="1">
      <alignment horizontal="left" indent="1"/>
    </xf>
    <xf numFmtId="0" fontId="1" fillId="0" borderId="1" xfId="11" applyFont="1" applyBorder="1" applyAlignment="1">
      <alignment horizontal="left"/>
    </xf>
    <xf numFmtId="3" fontId="0" fillId="0" borderId="1" xfId="11" applyNumberFormat="1" applyFont="1" applyBorder="1" applyAlignment="1">
      <alignment wrapText="1"/>
    </xf>
    <xf numFmtId="0" fontId="16" fillId="0" borderId="19" xfId="0" applyFont="1" applyBorder="1" applyAlignment="1">
      <alignment horizontal="left" indent="1"/>
    </xf>
    <xf numFmtId="0" fontId="11" fillId="14" borderId="121" xfId="9" applyBorder="1" applyAlignment="1" applyProtection="1">
      <protection locked="0"/>
    </xf>
    <xf numFmtId="0" fontId="11" fillId="14" borderId="118" xfId="9" applyBorder="1" applyAlignment="1" applyProtection="1">
      <protection locked="0"/>
    </xf>
    <xf numFmtId="0" fontId="11" fillId="14" borderId="119" xfId="9" applyBorder="1" applyAlignment="1" applyProtection="1">
      <protection locked="0"/>
    </xf>
    <xf numFmtId="0" fontId="11" fillId="14" borderId="122" xfId="9" applyBorder="1" applyAlignment="1" applyProtection="1">
      <protection locked="0"/>
    </xf>
    <xf numFmtId="0" fontId="11" fillId="14" borderId="7" xfId="9" applyAlignment="1" applyProtection="1">
      <protection locked="0"/>
    </xf>
    <xf numFmtId="0" fontId="11" fillId="14" borderId="101" xfId="9" applyBorder="1" applyAlignment="1" applyProtection="1">
      <protection locked="0"/>
    </xf>
    <xf numFmtId="0" fontId="11" fillId="14" borderId="123" xfId="9" applyBorder="1" applyAlignment="1" applyProtection="1">
      <protection locked="0"/>
    </xf>
    <xf numFmtId="0" fontId="11" fillId="14" borderId="117" xfId="9" applyBorder="1" applyAlignment="1" applyProtection="1">
      <protection locked="0"/>
    </xf>
    <xf numFmtId="0" fontId="11" fillId="14" borderId="120" xfId="9" applyBorder="1" applyAlignment="1" applyProtection="1">
      <protection locked="0"/>
    </xf>
    <xf numFmtId="1" fontId="0" fillId="0" borderId="55" xfId="0" applyNumberFormat="1" applyBorder="1" applyAlignment="1">
      <alignment horizontal="center"/>
    </xf>
    <xf numFmtId="1" fontId="0" fillId="0" borderId="5" xfId="0" applyNumberFormat="1" applyBorder="1" applyAlignment="1">
      <alignment horizontal="center"/>
    </xf>
    <xf numFmtId="0" fontId="26" fillId="0" borderId="0" xfId="0" applyFont="1" applyAlignment="1">
      <alignment horizontal="left"/>
    </xf>
    <xf numFmtId="0" fontId="26" fillId="0" borderId="0" xfId="0" applyFont="1" applyAlignment="1">
      <alignment horizontal="left" wrapText="1"/>
    </xf>
    <xf numFmtId="0" fontId="7" fillId="0" borderId="0" xfId="0" applyFont="1" applyAlignment="1">
      <alignment horizontal="center"/>
    </xf>
    <xf numFmtId="0" fontId="25" fillId="0" borderId="0" xfId="0" applyFont="1" applyAlignment="1">
      <alignment horizontal="left" vertical="center"/>
    </xf>
    <xf numFmtId="0" fontId="24" fillId="0" borderId="0" xfId="0" applyFont="1" applyAlignment="1">
      <alignment horizontal="left" vertical="center" wrapText="1" indent="1"/>
    </xf>
    <xf numFmtId="0" fontId="26" fillId="0" borderId="0" xfId="0" applyFont="1" applyAlignment="1">
      <alignment horizontal="left" vertical="center" wrapText="1"/>
    </xf>
    <xf numFmtId="0" fontId="26" fillId="0" borderId="0" xfId="0" applyFont="1" applyAlignment="1">
      <alignment horizontal="left" vertical="center"/>
    </xf>
    <xf numFmtId="0" fontId="0" fillId="0" borderId="46" xfId="0" applyBorder="1" applyAlignment="1">
      <alignment horizontal="center" vertical="center" wrapText="1"/>
    </xf>
    <xf numFmtId="0" fontId="0" fillId="0" borderId="48" xfId="0" applyBorder="1" applyAlignment="1">
      <alignment horizontal="center" vertical="center" wrapText="1"/>
    </xf>
    <xf numFmtId="0" fontId="9" fillId="0" borderId="27"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4" xfId="0" applyFont="1" applyBorder="1" applyAlignment="1">
      <alignment horizontal="center" vertical="center" wrapText="1"/>
    </xf>
    <xf numFmtId="0" fontId="8" fillId="0" borderId="13" xfId="11" applyFont="1" applyBorder="1" applyAlignment="1" applyProtection="1">
      <alignment horizontal="left"/>
      <protection locked="0"/>
    </xf>
    <xf numFmtId="0" fontId="11" fillId="14" borderId="1" xfId="9" applyBorder="1" applyAlignment="1" applyProtection="1">
      <alignment horizontal="center"/>
      <protection locked="0"/>
    </xf>
    <xf numFmtId="0" fontId="11" fillId="14" borderId="33" xfId="9" applyBorder="1" applyAlignment="1" applyProtection="1">
      <alignment horizontal="center"/>
      <protection locked="0"/>
    </xf>
    <xf numFmtId="0" fontId="8" fillId="0" borderId="56" xfId="11" applyFont="1" applyBorder="1" applyAlignment="1" applyProtection="1">
      <alignment horizontal="left"/>
      <protection locked="0"/>
    </xf>
    <xf numFmtId="0" fontId="11" fillId="14" borderId="55" xfId="9" applyBorder="1" applyAlignment="1" applyProtection="1">
      <alignment horizontal="center"/>
      <protection locked="0"/>
    </xf>
    <xf numFmtId="3" fontId="3" fillId="0" borderId="28" xfId="6" applyNumberFormat="1" applyBorder="1">
      <alignment horizontal="center"/>
    </xf>
    <xf numFmtId="3" fontId="0" fillId="0" borderId="44" xfId="6" applyNumberFormat="1" applyFont="1" applyBorder="1">
      <alignment horizontal="center"/>
    </xf>
    <xf numFmtId="3" fontId="0" fillId="0" borderId="64" xfId="6" applyNumberFormat="1" applyFont="1" applyBorder="1">
      <alignment horizontal="center"/>
    </xf>
    <xf numFmtId="0" fontId="13" fillId="0" borderId="0" xfId="12" applyAlignment="1" applyProtection="1">
      <alignment horizontal="center"/>
    </xf>
    <xf numFmtId="0" fontId="8" fillId="0" borderId="27" xfId="11" applyFont="1" applyBorder="1" applyAlignment="1" applyProtection="1">
      <alignment horizontal="left"/>
      <protection locked="0"/>
    </xf>
    <xf numFmtId="0" fontId="51" fillId="0" borderId="70" xfId="11" applyFont="1" applyBorder="1" applyAlignment="1">
      <alignment horizontal="center" vertical="center" wrapText="1"/>
    </xf>
    <xf numFmtId="0" fontId="11" fillId="14" borderId="33" xfId="9" applyNumberFormat="1" applyBorder="1" applyAlignment="1" applyProtection="1">
      <alignment horizontal="center"/>
      <protection locked="0"/>
    </xf>
    <xf numFmtId="0" fontId="11" fillId="14" borderId="1" xfId="9" applyNumberFormat="1" applyBorder="1" applyAlignment="1" applyProtection="1">
      <alignment horizontal="center"/>
      <protection locked="0"/>
    </xf>
    <xf numFmtId="166" fontId="11" fillId="14" borderId="28" xfId="9" applyNumberFormat="1" applyBorder="1" applyAlignment="1" applyProtection="1">
      <alignment horizontal="center"/>
      <protection locked="0"/>
    </xf>
    <xf numFmtId="166" fontId="11" fillId="14" borderId="14" xfId="9" applyNumberFormat="1" applyBorder="1" applyAlignment="1" applyProtection="1">
      <alignment horizontal="center"/>
      <protection locked="0"/>
    </xf>
    <xf numFmtId="166" fontId="11" fillId="14" borderId="57" xfId="9" applyNumberFormat="1" applyBorder="1" applyAlignment="1" applyProtection="1">
      <alignment horizontal="center"/>
      <protection locked="0"/>
    </xf>
    <xf numFmtId="0" fontId="8" fillId="0" borderId="16" xfId="11" applyFont="1" applyBorder="1" applyAlignment="1" applyProtection="1">
      <alignment horizontal="left"/>
      <protection locked="0"/>
    </xf>
    <xf numFmtId="0" fontId="11" fillId="14" borderId="17" xfId="9" applyBorder="1" applyAlignment="1" applyProtection="1">
      <alignment horizontal="center"/>
      <protection locked="0"/>
    </xf>
    <xf numFmtId="166" fontId="11" fillId="14" borderId="18" xfId="9" applyNumberFormat="1" applyBorder="1" applyAlignment="1" applyProtection="1">
      <alignment horizontal="center"/>
      <protection locked="0"/>
    </xf>
    <xf numFmtId="0" fontId="1" fillId="0" borderId="31" xfId="7" applyBorder="1">
      <alignment horizontal="left" wrapText="1"/>
    </xf>
    <xf numFmtId="0" fontId="1" fillId="0" borderId="38" xfId="7" applyBorder="1">
      <alignment horizontal="left" wrapText="1"/>
    </xf>
    <xf numFmtId="0" fontId="1" fillId="0" borderId="30" xfId="7" applyBorder="1">
      <alignment horizontal="left" wrapText="1"/>
    </xf>
    <xf numFmtId="0" fontId="1" fillId="0" borderId="25" xfId="0" applyFont="1" applyBorder="1" applyAlignment="1">
      <alignment horizontal="right"/>
    </xf>
    <xf numFmtId="0" fontId="1" fillId="0" borderId="2" xfId="0" applyFont="1" applyBorder="1" applyAlignment="1">
      <alignment horizontal="right"/>
    </xf>
    <xf numFmtId="0" fontId="1" fillId="0" borderId="16" xfId="0" applyFont="1" applyBorder="1" applyAlignment="1">
      <alignment horizontal="right"/>
    </xf>
    <xf numFmtId="0" fontId="1" fillId="0" borderId="17" xfId="0" applyFont="1" applyBorder="1" applyAlignment="1">
      <alignment horizontal="right"/>
    </xf>
    <xf numFmtId="1" fontId="0" fillId="0" borderId="1" xfId="0" applyNumberFormat="1" applyBorder="1" applyAlignment="1">
      <alignment horizontal="right"/>
    </xf>
    <xf numFmtId="164" fontId="0" fillId="0" borderId="17" xfId="0" applyNumberFormat="1" applyBorder="1" applyAlignment="1">
      <alignment horizontal="right"/>
    </xf>
    <xf numFmtId="164" fontId="0" fillId="0" borderId="55" xfId="0" applyNumberFormat="1" applyBorder="1" applyAlignment="1">
      <alignment horizontal="right"/>
    </xf>
    <xf numFmtId="164" fontId="0" fillId="0" borderId="17" xfId="11" applyNumberFormat="1" applyFont="1" applyBorder="1" applyAlignment="1">
      <alignment horizontal="right"/>
    </xf>
    <xf numFmtId="164" fontId="0" fillId="0" borderId="55" xfId="11" applyNumberFormat="1" applyFont="1" applyBorder="1" applyAlignment="1">
      <alignment horizontal="right"/>
    </xf>
    <xf numFmtId="3" fontId="3" fillId="0" borderId="13" xfId="6" applyNumberFormat="1" applyBorder="1">
      <alignment horizontal="center"/>
    </xf>
    <xf numFmtId="3" fontId="3" fillId="0" borderId="1" xfId="6" applyNumberFormat="1" applyBorder="1">
      <alignment horizontal="center"/>
    </xf>
    <xf numFmtId="3" fontId="3" fillId="0" borderId="16" xfId="6" applyNumberFormat="1" applyBorder="1">
      <alignment horizontal="center"/>
    </xf>
    <xf numFmtId="3" fontId="3" fillId="0" borderId="17" xfId="6" applyNumberFormat="1" applyBorder="1">
      <alignment horizontal="center"/>
    </xf>
    <xf numFmtId="3" fontId="3" fillId="0" borderId="33" xfId="11" applyNumberFormat="1" applyFont="1" applyBorder="1" applyAlignment="1">
      <alignment horizontal="center"/>
    </xf>
    <xf numFmtId="3" fontId="3" fillId="0" borderId="13" xfId="11" applyNumberFormat="1" applyFont="1" applyBorder="1" applyAlignment="1">
      <alignment horizontal="center"/>
    </xf>
    <xf numFmtId="3" fontId="3" fillId="0" borderId="1" xfId="11" applyNumberFormat="1" applyFont="1" applyBorder="1" applyAlignment="1">
      <alignment horizontal="center"/>
    </xf>
    <xf numFmtId="3" fontId="3" fillId="0" borderId="16" xfId="11" applyNumberFormat="1" applyFont="1" applyBorder="1" applyAlignment="1">
      <alignment horizontal="center"/>
    </xf>
    <xf numFmtId="3" fontId="3" fillId="0" borderId="17" xfId="11" applyNumberFormat="1" applyFont="1" applyBorder="1" applyAlignment="1">
      <alignment horizontal="center"/>
    </xf>
    <xf numFmtId="3" fontId="3" fillId="0" borderId="39" xfId="6" applyNumberFormat="1" applyBorder="1">
      <alignment horizontal="center"/>
    </xf>
    <xf numFmtId="3" fontId="3" fillId="0" borderId="35" xfId="6" applyNumberFormat="1" applyBorder="1">
      <alignment horizontal="center"/>
    </xf>
    <xf numFmtId="3" fontId="10" fillId="0" borderId="46" xfId="6" applyNumberFormat="1" applyFont="1" applyBorder="1" applyAlignment="1">
      <alignment horizontal="right"/>
    </xf>
    <xf numFmtId="3" fontId="10" fillId="0" borderId="47" xfId="6" applyNumberFormat="1" applyFont="1" applyBorder="1" applyAlignment="1">
      <alignment horizontal="right"/>
    </xf>
    <xf numFmtId="3" fontId="3" fillId="0" borderId="31" xfId="11" applyNumberFormat="1" applyFont="1" applyBorder="1" applyAlignment="1">
      <alignment horizontal="center"/>
    </xf>
    <xf numFmtId="3" fontId="3" fillId="0" borderId="38" xfId="11" applyNumberFormat="1" applyFont="1" applyBorder="1" applyAlignment="1">
      <alignment horizontal="center"/>
    </xf>
    <xf numFmtId="3" fontId="3" fillId="0" borderId="30" xfId="11" applyNumberFormat="1" applyFont="1" applyBorder="1" applyAlignment="1">
      <alignment horizontal="center"/>
    </xf>
    <xf numFmtId="1" fontId="1" fillId="0" borderId="50" xfId="7" applyNumberFormat="1" applyBorder="1" applyAlignment="1">
      <alignment horizontal="center" vertical="center" wrapText="1"/>
    </xf>
    <xf numFmtId="0" fontId="1" fillId="0" borderId="21" xfId="7" applyBorder="1" applyAlignment="1">
      <alignment horizontal="center" vertical="center" wrapText="1"/>
    </xf>
    <xf numFmtId="0" fontId="1" fillId="0" borderId="51" xfId="7" applyBorder="1" applyAlignment="1">
      <alignment horizontal="center" vertical="center" wrapText="1"/>
    </xf>
    <xf numFmtId="3" fontId="6" fillId="0" borderId="13" xfId="11" applyNumberFormat="1" applyFont="1" applyBorder="1" applyAlignment="1">
      <alignment horizontal="center"/>
    </xf>
    <xf numFmtId="3" fontId="6" fillId="0" borderId="1" xfId="11" applyNumberFormat="1" applyFont="1" applyBorder="1" applyAlignment="1">
      <alignment horizontal="center"/>
    </xf>
    <xf numFmtId="3" fontId="6" fillId="0" borderId="14" xfId="11" applyNumberFormat="1" applyFont="1" applyBorder="1" applyAlignment="1">
      <alignment horizontal="center"/>
    </xf>
    <xf numFmtId="0" fontId="0" fillId="0" borderId="35" xfId="0" applyBorder="1" applyAlignment="1">
      <alignment horizontal="center" vertical="center" wrapText="1"/>
    </xf>
    <xf numFmtId="0" fontId="11" fillId="14" borderId="7" xfId="9" applyAlignment="1" applyProtection="1">
      <alignment horizontal="center" wrapText="1"/>
      <protection locked="0"/>
    </xf>
    <xf numFmtId="1" fontId="0" fillId="0" borderId="33" xfId="0" applyNumberFormat="1" applyBorder="1" applyAlignment="1">
      <alignment horizontal="right"/>
    </xf>
    <xf numFmtId="1" fontId="0" fillId="0" borderId="35" xfId="0" applyNumberFormat="1" applyBorder="1" applyAlignment="1">
      <alignment horizontal="right"/>
    </xf>
    <xf numFmtId="0" fontId="15" fillId="12" borderId="0" xfId="4" applyAlignment="1">
      <alignment horizontal="center"/>
    </xf>
    <xf numFmtId="0" fontId="40" fillId="0" borderId="1" xfId="5" applyBorder="1" applyAlignment="1">
      <alignment horizontal="right"/>
    </xf>
    <xf numFmtId="9" fontId="15" fillId="12" borderId="31" xfId="4" applyNumberFormat="1" applyBorder="1" applyAlignment="1"/>
    <xf numFmtId="9" fontId="15" fillId="12" borderId="30" xfId="4" applyNumberFormat="1" applyBorder="1" applyAlignment="1"/>
    <xf numFmtId="1" fontId="1" fillId="0" borderId="50" xfId="7" applyNumberFormat="1" applyBorder="1" applyAlignment="1">
      <alignment horizontal="center" wrapText="1"/>
    </xf>
    <xf numFmtId="0" fontId="1" fillId="0" borderId="21" xfId="7" applyBorder="1" applyAlignment="1">
      <alignment horizontal="center" wrapText="1"/>
    </xf>
    <xf numFmtId="0" fontId="15" fillId="12" borderId="31" xfId="4" applyBorder="1" applyAlignment="1">
      <alignment horizontal="center"/>
    </xf>
    <xf numFmtId="0" fontId="15" fillId="12" borderId="38" xfId="4" applyBorder="1" applyAlignment="1">
      <alignment horizontal="center"/>
    </xf>
    <xf numFmtId="0" fontId="11" fillId="14" borderId="75" xfId="9" applyBorder="1" applyAlignment="1" applyProtection="1">
      <alignment horizontal="center" wrapText="1"/>
      <protection locked="0"/>
    </xf>
    <xf numFmtId="3" fontId="6" fillId="0" borderId="4" xfId="11" applyNumberFormat="1" applyFont="1" applyBorder="1" applyAlignment="1">
      <alignment horizontal="center"/>
    </xf>
    <xf numFmtId="0" fontId="0" fillId="0" borderId="35" xfId="11" applyFont="1" applyBorder="1" applyAlignment="1">
      <alignment horizontal="center" vertical="center" wrapText="1"/>
    </xf>
    <xf numFmtId="1" fontId="41" fillId="0" borderId="1" xfId="11" applyNumberFormat="1" applyFont="1" applyBorder="1" applyAlignment="1">
      <alignment horizontal="center"/>
    </xf>
    <xf numFmtId="1" fontId="41" fillId="0" borderId="4" xfId="11" applyNumberFormat="1" applyFont="1" applyBorder="1" applyAlignment="1">
      <alignment horizontal="center"/>
    </xf>
    <xf numFmtId="0" fontId="0" fillId="0" borderId="1" xfId="11" applyFont="1" applyBorder="1" applyAlignment="1">
      <alignment horizontal="center" vertical="center" wrapText="1"/>
    </xf>
    <xf numFmtId="1" fontId="41" fillId="0" borderId="14" xfId="11" applyNumberFormat="1" applyFont="1" applyBorder="1" applyAlignment="1">
      <alignment horizontal="center"/>
    </xf>
    <xf numFmtId="0" fontId="1" fillId="0" borderId="1" xfId="7" applyAlignment="1">
      <alignment horizontal="right" wrapText="1"/>
    </xf>
    <xf numFmtId="0" fontId="1" fillId="0" borderId="29" xfId="7" applyBorder="1" applyAlignment="1">
      <alignment horizontal="right" wrapText="1"/>
    </xf>
    <xf numFmtId="0" fontId="1" fillId="0" borderId="21" xfId="7" applyBorder="1" applyAlignment="1">
      <alignment horizontal="right" wrapText="1"/>
    </xf>
    <xf numFmtId="0" fontId="1" fillId="0" borderId="20" xfId="7" applyBorder="1" applyAlignment="1">
      <alignment horizontal="right" wrapText="1"/>
    </xf>
    <xf numFmtId="1" fontId="41" fillId="0" borderId="13" xfId="11" applyNumberFormat="1" applyFont="1" applyBorder="1" applyAlignment="1">
      <alignment horizontal="center"/>
    </xf>
    <xf numFmtId="0" fontId="0" fillId="0" borderId="4" xfId="0" applyBorder="1" applyAlignment="1">
      <alignment horizontal="center" vertical="center" wrapText="1"/>
    </xf>
    <xf numFmtId="0" fontId="0" fillId="0" borderId="2" xfId="0" applyBorder="1" applyAlignment="1">
      <alignment horizontal="center" vertical="center" wrapText="1"/>
    </xf>
    <xf numFmtId="3" fontId="1" fillId="0" borderId="50" xfId="7" applyNumberFormat="1" applyBorder="1" applyAlignment="1">
      <alignment horizontal="center" wrapText="1"/>
    </xf>
    <xf numFmtId="3" fontId="1" fillId="0" borderId="21" xfId="7" applyNumberFormat="1" applyBorder="1" applyAlignment="1">
      <alignment horizontal="center" wrapText="1"/>
    </xf>
    <xf numFmtId="0" fontId="1" fillId="0" borderId="13" xfId="7" applyBorder="1" applyAlignment="1">
      <alignment horizontal="right" wrapText="1"/>
    </xf>
    <xf numFmtId="0" fontId="1" fillId="0" borderId="50" xfId="7" applyBorder="1" applyAlignment="1">
      <alignment horizontal="right" wrapText="1"/>
    </xf>
    <xf numFmtId="0" fontId="44" fillId="0" borderId="0" xfId="3">
      <alignment horizontal="left"/>
    </xf>
    <xf numFmtId="0" fontId="1" fillId="0" borderId="1" xfId="11" applyFont="1" applyBorder="1" applyAlignment="1">
      <alignment horizontal="right" wrapText="1"/>
    </xf>
    <xf numFmtId="0" fontId="1" fillId="0" borderId="29" xfId="11" applyFont="1" applyBorder="1" applyAlignment="1">
      <alignment horizontal="right" wrapText="1"/>
    </xf>
    <xf numFmtId="0" fontId="1" fillId="0" borderId="21" xfId="11" applyFont="1" applyBorder="1" applyAlignment="1">
      <alignment horizontal="right" wrapText="1"/>
    </xf>
    <xf numFmtId="0" fontId="1" fillId="0" borderId="20" xfId="11" applyFont="1" applyBorder="1" applyAlignment="1">
      <alignment horizontal="right" wrapText="1"/>
    </xf>
    <xf numFmtId="0" fontId="1" fillId="0" borderId="13" xfId="11" applyFont="1" applyBorder="1" applyAlignment="1">
      <alignment horizontal="right" wrapText="1"/>
    </xf>
    <xf numFmtId="0" fontId="0" fillId="0" borderId="4" xfId="11" applyFont="1" applyBorder="1" applyAlignment="1">
      <alignment horizontal="center" vertical="center" wrapText="1"/>
    </xf>
    <xf numFmtId="0" fontId="0" fillId="0" borderId="2" xfId="11" applyFont="1" applyBorder="1" applyAlignment="1">
      <alignment horizontal="center" vertical="center" wrapText="1"/>
    </xf>
    <xf numFmtId="0" fontId="1" fillId="0" borderId="50" xfId="11" applyFont="1" applyBorder="1" applyAlignment="1">
      <alignment horizontal="right" wrapText="1"/>
    </xf>
    <xf numFmtId="3" fontId="6" fillId="0" borderId="35" xfId="11" applyNumberFormat="1" applyFont="1" applyBorder="1" applyAlignment="1">
      <alignment horizontal="center"/>
    </xf>
    <xf numFmtId="3" fontId="6" fillId="0" borderId="36" xfId="11" applyNumberFormat="1" applyFont="1" applyBorder="1" applyAlignment="1">
      <alignment horizontal="center"/>
    </xf>
    <xf numFmtId="3" fontId="6" fillId="0" borderId="39" xfId="11" applyNumberFormat="1" applyFont="1" applyBorder="1" applyAlignment="1">
      <alignment horizontal="center"/>
    </xf>
    <xf numFmtId="3" fontId="6" fillId="0" borderId="40" xfId="11" applyNumberFormat="1" applyFont="1" applyBorder="1" applyAlignment="1">
      <alignment horizontal="center"/>
    </xf>
    <xf numFmtId="0" fontId="38" fillId="0" borderId="16" xfId="0" applyFont="1" applyBorder="1" applyAlignment="1">
      <alignment horizontal="right" vertical="center" wrapText="1"/>
    </xf>
    <xf numFmtId="0" fontId="38" fillId="0" borderId="17" xfId="0" applyFont="1" applyBorder="1" applyAlignment="1">
      <alignment horizontal="right" vertical="center" wrapText="1"/>
    </xf>
    <xf numFmtId="0" fontId="14" fillId="0" borderId="0" xfId="0" applyFont="1" applyAlignment="1">
      <alignment horizontal="center"/>
    </xf>
    <xf numFmtId="0" fontId="5" fillId="0" borderId="46" xfId="0" applyFont="1" applyBorder="1" applyAlignment="1">
      <alignment horizontal="center" wrapText="1"/>
    </xf>
    <xf numFmtId="0" fontId="5" fillId="0" borderId="53" xfId="0" applyFont="1" applyBorder="1" applyAlignment="1">
      <alignment horizontal="center" wrapText="1"/>
    </xf>
    <xf numFmtId="0" fontId="21" fillId="0" borderId="0" xfId="0" applyFont="1" applyAlignment="1">
      <alignment horizontal="left" vertical="center" indent="3"/>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26" xfId="0" applyBorder="1" applyAlignment="1">
      <alignment horizontal="center" vertical="center"/>
    </xf>
    <xf numFmtId="0" fontId="0" fillId="0" borderId="64" xfId="0" applyBorder="1" applyAlignment="1">
      <alignment horizontal="center" vertical="center"/>
    </xf>
    <xf numFmtId="0" fontId="1" fillId="0" borderId="33" xfId="7" applyBorder="1" applyAlignment="1">
      <alignment horizontal="center" wrapText="1"/>
    </xf>
    <xf numFmtId="0" fontId="11" fillId="14" borderId="1" xfId="9" applyBorder="1" applyAlignment="1" applyProtection="1">
      <alignment wrapText="1"/>
      <protection locked="0"/>
    </xf>
    <xf numFmtId="0" fontId="11" fillId="14" borderId="17" xfId="9" applyBorder="1" applyAlignment="1" applyProtection="1">
      <alignment wrapText="1"/>
      <protection locked="0"/>
    </xf>
    <xf numFmtId="0" fontId="8" fillId="11" borderId="41" xfId="0" applyFont="1" applyFill="1" applyBorder="1" applyAlignment="1">
      <alignment horizontal="right"/>
    </xf>
    <xf numFmtId="0" fontId="8" fillId="11" borderId="58" xfId="0" applyFont="1" applyFill="1" applyBorder="1" applyAlignment="1">
      <alignment horizontal="right"/>
    </xf>
    <xf numFmtId="0" fontId="0" fillId="0" borderId="95" xfId="0" applyBorder="1" applyAlignment="1">
      <alignment horizontal="center"/>
    </xf>
    <xf numFmtId="0" fontId="0" fillId="0" borderId="40" xfId="0" applyBorder="1" applyAlignment="1">
      <alignment horizontal="center"/>
    </xf>
    <xf numFmtId="0" fontId="1" fillId="11" borderId="25" xfId="0" applyFont="1" applyFill="1" applyBorder="1" applyAlignment="1">
      <alignment horizontal="center" wrapText="1"/>
    </xf>
    <xf numFmtId="0" fontId="1" fillId="11" borderId="3" xfId="0" applyFont="1" applyFill="1" applyBorder="1" applyAlignment="1">
      <alignment horizontal="center" wrapText="1"/>
    </xf>
    <xf numFmtId="0" fontId="1" fillId="11" borderId="26" xfId="0" applyFont="1" applyFill="1" applyBorder="1" applyAlignment="1">
      <alignment horizontal="center" wrapText="1"/>
    </xf>
    <xf numFmtId="164" fontId="0" fillId="0" borderId="16" xfId="0" applyNumberFormat="1" applyBorder="1" applyAlignment="1">
      <alignment horizontal="right"/>
    </xf>
    <xf numFmtId="0" fontId="42" fillId="0" borderId="46" xfId="11" applyFont="1" applyBorder="1" applyAlignment="1">
      <alignment horizontal="center"/>
    </xf>
    <xf numFmtId="0" fontId="42" fillId="0" borderId="48" xfId="11" applyFont="1" applyBorder="1" applyAlignment="1">
      <alignment horizontal="center"/>
    </xf>
    <xf numFmtId="0" fontId="0" fillId="0" borderId="31" xfId="0" applyBorder="1" applyAlignment="1">
      <alignment horizontal="center"/>
    </xf>
    <xf numFmtId="0" fontId="0" fillId="0" borderId="38" xfId="0" applyBorder="1" applyAlignment="1">
      <alignment horizontal="center"/>
    </xf>
    <xf numFmtId="0" fontId="0" fillId="0" borderId="30" xfId="0" applyBorder="1" applyAlignment="1">
      <alignment horizontal="center"/>
    </xf>
    <xf numFmtId="0" fontId="3" fillId="0" borderId="4" xfId="11" applyNumberFormat="1" applyFont="1" applyBorder="1" applyAlignment="1">
      <alignment horizontal="center"/>
    </xf>
    <xf numFmtId="0" fontId="3" fillId="0" borderId="3" xfId="11" applyNumberFormat="1" applyFont="1" applyBorder="1" applyAlignment="1">
      <alignment horizontal="center"/>
    </xf>
    <xf numFmtId="3" fontId="3" fillId="0" borderId="10" xfId="11" applyNumberFormat="1" applyFont="1" applyBorder="1" applyAlignment="1">
      <alignment horizontal="center"/>
    </xf>
    <xf numFmtId="0" fontId="3" fillId="0" borderId="11" xfId="11" applyNumberFormat="1" applyFont="1" applyBorder="1" applyAlignment="1">
      <alignment horizontal="center"/>
    </xf>
    <xf numFmtId="0" fontId="3" fillId="0" borderId="12" xfId="11" applyNumberFormat="1" applyFont="1" applyBorder="1" applyAlignment="1">
      <alignment horizontal="center"/>
    </xf>
    <xf numFmtId="1" fontId="0" fillId="0" borderId="25" xfId="11" applyNumberFormat="1" applyFont="1" applyBorder="1" applyAlignment="1">
      <alignment horizontal="center"/>
    </xf>
    <xf numFmtId="1" fontId="0" fillId="0" borderId="3" xfId="11" applyNumberFormat="1" applyFont="1" applyBorder="1" applyAlignment="1">
      <alignment horizontal="center"/>
    </xf>
    <xf numFmtId="1" fontId="0" fillId="0" borderId="26" xfId="11" applyNumberFormat="1" applyFont="1" applyBorder="1" applyAlignment="1">
      <alignment horizontal="center"/>
    </xf>
    <xf numFmtId="0" fontId="13" fillId="0" borderId="0" xfId="12" applyFill="1" applyAlignment="1">
      <alignment horizontal="center" vertical="center"/>
    </xf>
    <xf numFmtId="0" fontId="3" fillId="0" borderId="1" xfId="6" applyNumberFormat="1" applyBorder="1">
      <alignment horizontal="center"/>
    </xf>
    <xf numFmtId="3" fontId="0" fillId="0" borderId="1" xfId="11" applyNumberFormat="1" applyFont="1" applyBorder="1" applyAlignment="1">
      <alignment horizontal="center"/>
    </xf>
    <xf numFmtId="1" fontId="0" fillId="0" borderId="1" xfId="6" applyNumberFormat="1" applyFont="1" applyBorder="1">
      <alignment horizontal="center"/>
    </xf>
    <xf numFmtId="0" fontId="11" fillId="14" borderId="1" xfId="9" applyBorder="1" applyProtection="1">
      <protection locked="0"/>
    </xf>
    <xf numFmtId="0" fontId="0" fillId="9" borderId="4" xfId="0" applyFill="1" applyBorder="1" applyAlignment="1">
      <alignment horizontal="center"/>
    </xf>
    <xf numFmtId="0" fontId="0" fillId="9" borderId="2" xfId="0" applyFill="1" applyBorder="1" applyAlignment="1">
      <alignment horizontal="center"/>
    </xf>
    <xf numFmtId="0" fontId="0" fillId="0" borderId="29" xfId="0" applyBorder="1"/>
    <xf numFmtId="0" fontId="0" fillId="0" borderId="20" xfId="0" applyBorder="1"/>
    <xf numFmtId="0" fontId="0" fillId="0" borderId="1" xfId="0" applyBorder="1"/>
    <xf numFmtId="0" fontId="8" fillId="0" borderId="1" xfId="11" applyFont="1" applyBorder="1"/>
    <xf numFmtId="0" fontId="0" fillId="0" borderId="90" xfId="0" applyBorder="1" applyAlignment="1">
      <alignment horizontal="right"/>
    </xf>
    <xf numFmtId="0" fontId="0" fillId="0" borderId="96" xfId="0" applyBorder="1" applyAlignment="1">
      <alignment horizontal="right"/>
    </xf>
    <xf numFmtId="0" fontId="11" fillId="14" borderId="4" xfId="9" applyBorder="1" applyAlignment="1" applyProtection="1">
      <alignment horizontal="right"/>
      <protection locked="0"/>
    </xf>
    <xf numFmtId="0" fontId="11" fillId="14" borderId="2" xfId="9" applyBorder="1" applyAlignment="1" applyProtection="1">
      <alignment horizontal="right"/>
      <protection locked="0"/>
    </xf>
    <xf numFmtId="164" fontId="3" fillId="0" borderId="25" xfId="11" applyNumberFormat="1" applyFont="1" applyBorder="1" applyAlignment="1">
      <alignment horizontal="center"/>
    </xf>
    <xf numFmtId="164" fontId="3" fillId="0" borderId="65" xfId="11" applyNumberFormat="1" applyFont="1" applyBorder="1" applyAlignment="1">
      <alignment horizontal="center"/>
    </xf>
    <xf numFmtId="0" fontId="0" fillId="0" borderId="41" xfId="11" applyFont="1" applyBorder="1" applyAlignment="1">
      <alignment horizontal="right" wrapText="1"/>
    </xf>
    <xf numFmtId="0" fontId="0" fillId="0" borderId="59" xfId="11" applyFont="1" applyBorder="1" applyAlignment="1">
      <alignment horizontal="right" wrapText="1"/>
    </xf>
    <xf numFmtId="164" fontId="3" fillId="0" borderId="31" xfId="11" applyNumberFormat="1" applyFont="1" applyBorder="1" applyAlignment="1">
      <alignment horizontal="center"/>
    </xf>
    <xf numFmtId="164" fontId="3" fillId="0" borderId="32" xfId="11" applyNumberFormat="1" applyFont="1" applyBorder="1" applyAlignment="1">
      <alignment horizontal="center"/>
    </xf>
    <xf numFmtId="164" fontId="3" fillId="0" borderId="23" xfId="11" applyNumberFormat="1" applyFont="1" applyBorder="1" applyAlignment="1">
      <alignment horizontal="center"/>
    </xf>
    <xf numFmtId="0" fontId="13" fillId="0" borderId="0" xfId="12" applyAlignment="1">
      <alignment horizontal="left"/>
    </xf>
    <xf numFmtId="0" fontId="15" fillId="12" borderId="1" xfId="4" applyBorder="1" applyAlignment="1">
      <alignment horizontal="justify" vertical="center" wrapText="1"/>
    </xf>
    <xf numFmtId="0" fontId="3" fillId="0" borderId="27" xfId="6" applyNumberFormat="1" applyBorder="1">
      <alignment horizontal="center"/>
    </xf>
    <xf numFmtId="0" fontId="0" fillId="0" borderId="55" xfId="0" applyBorder="1" applyAlignment="1">
      <alignment horizontal="center" wrapText="1"/>
    </xf>
    <xf numFmtId="0" fontId="0" fillId="0" borderId="5" xfId="0" applyBorder="1" applyAlignment="1">
      <alignment horizontal="center" wrapText="1"/>
    </xf>
    <xf numFmtId="0" fontId="0" fillId="0" borderId="96" xfId="0" applyBorder="1" applyAlignment="1">
      <alignment horizontal="center" wrapText="1"/>
    </xf>
    <xf numFmtId="10" fontId="11" fillId="14" borderId="104" xfId="9" applyNumberFormat="1" applyBorder="1" applyAlignment="1" applyProtection="1">
      <alignment horizontal="center"/>
      <protection locked="0"/>
    </xf>
    <xf numFmtId="10" fontId="11" fillId="14" borderId="105" xfId="9" applyNumberFormat="1" applyBorder="1" applyAlignment="1" applyProtection="1">
      <alignment horizontal="center"/>
      <protection locked="0"/>
    </xf>
    <xf numFmtId="10" fontId="11" fillId="14" borderId="106" xfId="9" applyNumberFormat="1" applyBorder="1" applyAlignment="1" applyProtection="1">
      <alignment horizontal="center"/>
      <protection locked="0"/>
    </xf>
    <xf numFmtId="10" fontId="11" fillId="14" borderId="107" xfId="9" applyNumberFormat="1" applyBorder="1" applyAlignment="1" applyProtection="1">
      <alignment horizontal="center"/>
      <protection locked="0"/>
    </xf>
    <xf numFmtId="10" fontId="11" fillId="14" borderId="108" xfId="9" applyNumberFormat="1" applyBorder="1" applyAlignment="1" applyProtection="1">
      <alignment horizontal="center"/>
      <protection locked="0"/>
    </xf>
    <xf numFmtId="10" fontId="11" fillId="14" borderId="109" xfId="9" applyNumberFormat="1" applyBorder="1" applyAlignment="1" applyProtection="1">
      <alignment horizontal="center"/>
      <protection locked="0"/>
    </xf>
    <xf numFmtId="3" fontId="0" fillId="0" borderId="27" xfId="0" applyNumberFormat="1" applyBorder="1" applyAlignment="1">
      <alignment horizontal="center"/>
    </xf>
    <xf numFmtId="0" fontId="0" fillId="0" borderId="43" xfId="0" applyBorder="1" applyAlignment="1">
      <alignment horizontal="center"/>
    </xf>
    <xf numFmtId="1" fontId="0" fillId="0" borderId="16" xfId="0" applyNumberFormat="1" applyBorder="1" applyAlignment="1">
      <alignment horizontal="center"/>
    </xf>
    <xf numFmtId="0" fontId="0" fillId="0" borderId="44" xfId="0" applyBorder="1" applyAlignment="1">
      <alignment horizontal="center"/>
    </xf>
    <xf numFmtId="0" fontId="0" fillId="0" borderId="52" xfId="0" applyBorder="1" applyAlignment="1">
      <alignment horizontal="right" wrapText="1"/>
    </xf>
    <xf numFmtId="0" fontId="0" fillId="0" borderId="70" xfId="0" applyBorder="1" applyAlignment="1">
      <alignment horizontal="right" wrapText="1"/>
    </xf>
    <xf numFmtId="0" fontId="0" fillId="0" borderId="41" xfId="0" applyBorder="1" applyAlignment="1">
      <alignment horizontal="right" wrapText="1"/>
    </xf>
    <xf numFmtId="0" fontId="0" fillId="0" borderId="58" xfId="0" applyBorder="1" applyAlignment="1">
      <alignment horizontal="right" wrapText="1"/>
    </xf>
    <xf numFmtId="0" fontId="1" fillId="0" borderId="35" xfId="7" applyBorder="1">
      <alignment horizontal="left" wrapText="1"/>
    </xf>
    <xf numFmtId="0" fontId="0" fillId="0" borderId="55" xfId="0" applyBorder="1" applyAlignment="1">
      <alignment horizontal="right" wrapText="1"/>
    </xf>
    <xf numFmtId="3" fontId="0" fillId="0" borderId="55" xfId="0" applyNumberFormat="1" applyBorder="1" applyAlignment="1">
      <alignment horizontal="center" wrapText="1"/>
    </xf>
    <xf numFmtId="3" fontId="0" fillId="0" borderId="5" xfId="0" applyNumberFormat="1" applyBorder="1" applyAlignment="1">
      <alignment horizontal="center" wrapText="1"/>
    </xf>
    <xf numFmtId="3" fontId="0" fillId="0" borderId="35" xfId="0" applyNumberFormat="1" applyBorder="1" applyAlignment="1">
      <alignment horizontal="center" wrapText="1"/>
    </xf>
    <xf numFmtId="3" fontId="0" fillId="0" borderId="100" xfId="0" applyNumberFormat="1" applyBorder="1" applyAlignment="1">
      <alignment horizontal="center" wrapText="1"/>
    </xf>
    <xf numFmtId="3" fontId="0" fillId="0" borderId="22" xfId="0" applyNumberFormat="1" applyBorder="1" applyAlignment="1">
      <alignment horizontal="center" wrapText="1"/>
    </xf>
    <xf numFmtId="0" fontId="0" fillId="0" borderId="54" xfId="0" applyBorder="1" applyAlignment="1">
      <alignment horizontal="center"/>
    </xf>
    <xf numFmtId="1" fontId="0" fillId="0" borderId="49" xfId="0" applyNumberFormat="1" applyBorder="1" applyAlignment="1">
      <alignment horizontal="center"/>
    </xf>
    <xf numFmtId="0" fontId="0" fillId="0" borderId="29" xfId="0" applyBorder="1" applyAlignment="1">
      <alignment wrapText="1"/>
    </xf>
    <xf numFmtId="0" fontId="0" fillId="0" borderId="20" xfId="0" applyBorder="1" applyAlignment="1">
      <alignment wrapText="1"/>
    </xf>
    <xf numFmtId="0" fontId="0" fillId="0" borderId="1" xfId="0" applyBorder="1" applyAlignment="1">
      <alignment horizontal="right" wrapText="1"/>
    </xf>
    <xf numFmtId="3" fontId="0" fillId="0" borderId="103" xfId="0" applyNumberFormat="1" applyBorder="1" applyAlignment="1">
      <alignment horizontal="center" wrapText="1"/>
    </xf>
    <xf numFmtId="0" fontId="1" fillId="0" borderId="146" xfId="7" applyBorder="1">
      <alignment horizontal="left" wrapText="1"/>
    </xf>
    <xf numFmtId="0" fontId="1" fillId="0" borderId="115" xfId="7" applyBorder="1">
      <alignment horizontal="left" wrapText="1"/>
    </xf>
    <xf numFmtId="0" fontId="0" fillId="0" borderId="50" xfId="0" applyBorder="1" applyAlignment="1">
      <alignment horizontal="center"/>
    </xf>
    <xf numFmtId="0" fontId="0" fillId="0" borderId="51"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4" xfId="0" applyBorder="1" applyAlignment="1">
      <alignment wrapText="1"/>
    </xf>
    <xf numFmtId="0" fontId="0" fillId="0" borderId="2" xfId="0" applyBorder="1" applyAlignment="1">
      <alignment wrapText="1"/>
    </xf>
    <xf numFmtId="0" fontId="0" fillId="0" borderId="44" xfId="0" applyBorder="1" applyAlignment="1">
      <alignment wrapText="1"/>
    </xf>
    <xf numFmtId="0" fontId="0" fillId="0" borderId="49" xfId="0" applyBorder="1" applyAlignment="1">
      <alignment wrapText="1"/>
    </xf>
    <xf numFmtId="0" fontId="42" fillId="0" borderId="46" xfId="8" applyBorder="1" applyAlignment="1">
      <alignment horizontal="center" wrapText="1"/>
    </xf>
    <xf numFmtId="0" fontId="42" fillId="0" borderId="47" xfId="8" applyBorder="1" applyAlignment="1">
      <alignment horizontal="center" wrapText="1"/>
    </xf>
    <xf numFmtId="0" fontId="42" fillId="0" borderId="48" xfId="8" applyBorder="1" applyAlignment="1">
      <alignment horizontal="center" wrapText="1"/>
    </xf>
    <xf numFmtId="0" fontId="42" fillId="0" borderId="46" xfId="8" applyBorder="1" applyAlignment="1">
      <alignment horizontal="center"/>
    </xf>
    <xf numFmtId="0" fontId="42" fillId="0" borderId="47" xfId="8" applyBorder="1" applyAlignment="1">
      <alignment horizontal="center"/>
    </xf>
    <xf numFmtId="0" fontId="42" fillId="0" borderId="48" xfId="8" applyBorder="1" applyAlignment="1">
      <alignment horizontal="center"/>
    </xf>
    <xf numFmtId="0" fontId="1" fillId="0" borderId="33" xfId="7" applyBorder="1">
      <alignment horizontal="left" wrapText="1"/>
    </xf>
    <xf numFmtId="0" fontId="44" fillId="0" borderId="0" xfId="3" applyNumberFormat="1" applyBorder="1">
      <alignment horizontal="left"/>
    </xf>
    <xf numFmtId="0" fontId="1" fillId="0" borderId="55" xfId="0" applyFont="1" applyBorder="1" applyAlignment="1">
      <alignment horizontal="center"/>
    </xf>
    <xf numFmtId="0" fontId="1" fillId="0" borderId="35" xfId="0" applyFont="1" applyBorder="1" applyAlignment="1">
      <alignment horizontal="center"/>
    </xf>
    <xf numFmtId="3" fontId="3" fillId="13" borderId="4" xfId="6" applyNumberFormat="1" applyFill="1" applyBorder="1">
      <alignment horizontal="center"/>
    </xf>
    <xf numFmtId="0" fontId="3" fillId="13" borderId="3" xfId="6" applyNumberFormat="1" applyFill="1" applyBorder="1">
      <alignment horizontal="center"/>
    </xf>
    <xf numFmtId="0" fontId="3" fillId="13" borderId="26" xfId="6" applyNumberFormat="1" applyFill="1" applyBorder="1">
      <alignment horizontal="center"/>
    </xf>
    <xf numFmtId="0" fontId="3" fillId="13" borderId="25" xfId="6" applyNumberFormat="1" applyFill="1" applyBorder="1">
      <alignment horizontal="center"/>
    </xf>
    <xf numFmtId="0" fontId="3" fillId="13" borderId="2" xfId="6" applyNumberFormat="1" applyFill="1" applyBorder="1">
      <alignment horizontal="center"/>
    </xf>
    <xf numFmtId="3" fontId="0" fillId="0" borderId="51" xfId="0" applyNumberFormat="1" applyBorder="1" applyAlignment="1">
      <alignment horizontal="center"/>
    </xf>
    <xf numFmtId="0" fontId="0" fillId="0" borderId="34" xfId="0" applyBorder="1" applyAlignment="1">
      <alignment horizontal="center"/>
    </xf>
  </cellXfs>
  <cellStyles count="16">
    <cellStyle name="Comma" xfId="1" builtinId="3"/>
    <cellStyle name="Contrast Gray" xfId="11" xr:uid="{B8E82395-439E-43C9-9DFB-50E80C2250F0}"/>
    <cellStyle name="Currency" xfId="15" builtinId="4"/>
    <cellStyle name="Final Score" xfId="14" xr:uid="{09B943B2-349E-4413-A0BA-97B42D5FB9D7}"/>
    <cellStyle name="Form Sub Heading" xfId="8" xr:uid="{F2445F29-161F-4554-8D45-B9C8CE799F7D}"/>
    <cellStyle name="Hyperlink" xfId="12" builtinId="8"/>
    <cellStyle name="Input" xfId="2" builtinId="20"/>
    <cellStyle name="Normal" xfId="0" builtinId="0"/>
    <cellStyle name="Percent" xfId="10" builtinId="5"/>
    <cellStyle name="Respondent Input" xfId="9" xr:uid="{C8025A8B-7C47-473B-9FDD-A864022A191C}"/>
    <cellStyle name="Score Box Header" xfId="4" xr:uid="{E24423EC-C653-4531-ACA2-99F5FB235B9F}"/>
    <cellStyle name="Score Box Red" xfId="5" xr:uid="{3461711F-9093-404B-92BA-6541987F60F1}"/>
    <cellStyle name="Score Percent" xfId="13" xr:uid="{D9ADFBBE-E6DF-4012-B4A0-23DEAD1291F4}"/>
    <cellStyle name="SRC Header" xfId="7" xr:uid="{99124697-1005-4BE4-829F-694F17CF903F}"/>
    <cellStyle name="State Headers" xfId="6" xr:uid="{970CB8C4-679E-4FA8-A573-DCD418F16E3C}"/>
    <cellStyle name="Title" xfId="3" builtinId="15" customBuiltin="1"/>
  </cellStyles>
  <dxfs count="80">
    <dxf>
      <numFmt numFmtId="0" formatCode="General"/>
    </dxf>
    <dxf>
      <alignment horizontal="right" vertical="bottom" textRotation="0" wrapText="0" indent="0" justifyLastLine="0" shrinkToFit="0" readingOrder="0"/>
    </dxf>
    <dxf>
      <border outline="0">
        <bottom style="thin">
          <color auto="1"/>
        </bottom>
      </border>
    </dxf>
    <dxf>
      <border diagonalUp="0" diagonalDown="0">
        <left style="thin">
          <color theme="4"/>
        </left>
        <right style="thin">
          <color theme="4"/>
        </right>
        <top style="thin">
          <color theme="4"/>
        </top>
        <bottom style="thin">
          <color theme="4"/>
        </bottom>
        <vertical style="thin">
          <color theme="4"/>
        </vertical>
        <horizontal style="thin">
          <color theme="4"/>
        </horizontal>
      </border>
    </dxf>
    <dxf>
      <alignment horizontal="right" vertical="bottom" textRotation="0" wrapText="0" indent="0" justifyLastLine="0" shrinkToFit="0" readingOrder="0"/>
      <border diagonalUp="0" diagonalDown="0">
        <left style="thin">
          <color theme="4"/>
        </left>
        <right style="thin">
          <color theme="4"/>
        </right>
        <top style="thin">
          <color theme="4"/>
        </top>
        <bottom style="thin">
          <color theme="4"/>
        </bottom>
        <vertical style="thin">
          <color theme="4"/>
        </vertical>
        <horizontal style="thin">
          <color theme="4"/>
        </horizontal>
      </border>
    </dxf>
    <dxf>
      <border outline="0">
        <bottom style="thin">
          <color auto="1"/>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bottom style="thin">
          <color auto="1"/>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protection locked="1" hidden="0"/>
    </dxf>
    <dxf>
      <alignment horizontal="center" vertical="bottom" textRotation="0" wrapText="0" indent="0" justifyLastLine="0" shrinkToFit="0" readingOrder="0"/>
      <protection locked="1" hidden="0"/>
    </dxf>
    <dxf>
      <font>
        <b/>
        <i val="0"/>
        <strike val="0"/>
        <condense val="0"/>
        <extend val="0"/>
        <outline val="0"/>
        <shadow val="0"/>
        <u val="none"/>
        <vertAlign val="baseline"/>
        <sz val="11"/>
        <color auto="1"/>
        <name val="Calibri"/>
        <family val="2"/>
        <scheme val="minor"/>
      </font>
      <fill>
        <patternFill patternType="solid">
          <fgColor indexed="64"/>
          <bgColor theme="0"/>
        </patternFill>
      </fill>
      <border diagonalUp="0" diagonalDown="0" outline="0">
        <left style="thin">
          <color auto="1"/>
        </left>
        <right/>
        <top style="thin">
          <color indexed="64"/>
        </top>
        <bottom/>
      </border>
    </dxf>
    <dxf>
      <font>
        <b/>
        <i val="0"/>
        <strike val="0"/>
        <condense val="0"/>
        <extend val="0"/>
        <outline val="0"/>
        <shadow val="0"/>
        <u val="none"/>
        <vertAlign val="baseline"/>
        <sz val="11"/>
        <color auto="1"/>
        <name val="Calibri"/>
        <family val="2"/>
        <scheme val="minor"/>
      </font>
      <fill>
        <patternFill patternType="solid">
          <fgColor indexed="64"/>
          <bgColor theme="0"/>
        </patternFill>
      </fill>
      <border diagonalUp="0" diagonalDown="0" outline="0">
        <left style="thin">
          <color auto="1"/>
        </left>
        <right/>
        <top style="thin">
          <color indexed="64"/>
        </top>
        <bottom/>
      </border>
    </dxf>
    <dxf>
      <font>
        <b/>
        <i val="0"/>
        <strike val="0"/>
        <condense val="0"/>
        <extend val="0"/>
        <outline val="0"/>
        <shadow val="0"/>
        <u val="none"/>
        <vertAlign val="baseline"/>
        <sz val="11"/>
        <color auto="1"/>
        <name val="Calibri"/>
        <family val="2"/>
        <scheme val="minor"/>
      </font>
      <fill>
        <patternFill patternType="solid">
          <fgColor indexed="64"/>
          <bgColor theme="0"/>
        </patternFill>
      </fill>
      <border diagonalUp="0" diagonalDown="0" outline="0">
        <left style="thin">
          <color auto="1"/>
        </left>
        <right/>
        <top style="thin">
          <color indexed="64"/>
        </top>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Calibri"/>
        <family val="2"/>
        <scheme val="minor"/>
      </font>
      <fill>
        <patternFill patternType="solid">
          <fgColor indexed="64"/>
          <bgColor theme="0"/>
        </patternFill>
      </fill>
      <border diagonalUp="0" diagonalDown="0" outline="0">
        <left style="thin">
          <color auto="1"/>
        </left>
        <right/>
        <top style="thin">
          <color indexed="64"/>
        </top>
        <bottom/>
      </border>
    </dxf>
    <dxf>
      <font>
        <strike val="0"/>
        <outline val="0"/>
        <shadow val="0"/>
        <u val="none"/>
        <vertAlign val="baseline"/>
        <color auto="1"/>
        <name val="Calibri"/>
        <family val="2"/>
        <scheme val="minor"/>
      </font>
      <fill>
        <patternFill patternType="solid">
          <fgColor indexed="64"/>
          <bgColor theme="0"/>
        </patternFill>
      </fill>
      <border diagonalUp="0" diagonalDown="0">
        <left style="thin">
          <color indexed="64"/>
        </left>
        <right/>
        <top style="thin">
          <color indexed="64"/>
        </top>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0"/>
        </patternFill>
      </fill>
      <alignment horizontal="right" vertical="bottom" textRotation="0" wrapText="0" indent="0" justifyLastLine="0" shrinkToFit="0" readingOrder="0"/>
      <border diagonalUp="0" diagonalDown="0" outline="0">
        <left/>
        <right style="thin">
          <color indexed="64"/>
        </right>
        <top style="thin">
          <color indexed="64"/>
        </top>
        <bottom/>
      </border>
    </dxf>
    <dxf>
      <font>
        <i/>
        <strike val="0"/>
        <outline val="0"/>
        <shadow val="0"/>
        <u val="none"/>
        <vertAlign val="baseline"/>
        <color auto="1"/>
        <name val="Calibri"/>
        <family val="2"/>
        <scheme val="minor"/>
      </font>
      <fill>
        <patternFill patternType="solid">
          <fgColor indexed="64"/>
          <bgColor theme="0"/>
        </patternFill>
      </fill>
      <alignment horizontal="left" vertical="bottom" textRotation="0" wrapText="0" indent="1" justifyLastLine="0" shrinkToFit="0" readingOrder="0"/>
      <border diagonalUp="0" diagonalDown="0">
        <left/>
        <right style="thin">
          <color auto="1"/>
        </right>
        <top style="thin">
          <color auto="1"/>
        </top>
        <bottom style="thin">
          <color auto="1"/>
        </bottom>
        <vertical/>
        <horizontal/>
      </border>
    </dxf>
    <dxf>
      <border>
        <top style="thin">
          <color indexed="64"/>
        </top>
      </border>
    </dxf>
    <dxf>
      <font>
        <b/>
        <strike val="0"/>
        <outline val="0"/>
        <shadow val="0"/>
        <u val="none"/>
        <vertAlign val="baseline"/>
        <sz val="11"/>
        <color auto="1"/>
        <name val="Calibri"/>
        <family val="2"/>
        <scheme val="minor"/>
      </font>
      <border diagonalUp="0" diagonalDown="0">
        <left style="thin">
          <color indexed="64"/>
        </left>
        <right style="thin">
          <color indexed="64"/>
        </right>
        <top/>
        <bottom/>
        <vertical style="thin">
          <color indexed="64"/>
        </vertical>
        <horizontal style="thin">
          <color indexed="64"/>
        </horizontal>
      </border>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4" tint="0.39997558519241921"/>
        </patternFill>
      </fill>
      <alignment horizontal="general" vertical="bottom" textRotation="0" wrapText="0" indent="0" justifyLastLine="0" shrinkToFit="0" readingOrder="0"/>
    </dxf>
    <dxf>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bottom style="thin">
          <color auto="1"/>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bottom style="thin">
          <color auto="1"/>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bottom style="thin">
          <color auto="1"/>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bottom style="thin">
          <color auto="1"/>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outline="0">
        <bottom style="thin">
          <color auto="1"/>
        </bottom>
      </border>
    </dxf>
    <dxf>
      <protection locked="1" hidden="0"/>
    </dxf>
    <dxf>
      <protection locked="1" hidden="0"/>
    </dxf>
    <dxf>
      <alignment horizontal="right" vertical="bottom" textRotation="0" wrapText="0" indent="0" justifyLastLine="0" shrinkToFit="0" readingOrder="0"/>
    </dxf>
    <dxf>
      <border outline="0">
        <bottom style="thin">
          <color auto="1"/>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bottom style="thin">
          <color auto="1"/>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bottom style="thin">
          <color auto="1"/>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bottom style="thin">
          <color auto="1"/>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bottom style="thin">
          <color auto="1"/>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bottom style="thin">
          <color auto="1"/>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bottom style="thin">
          <color auto="1"/>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bottom style="thin">
          <color auto="1"/>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bottom style="thin">
          <color auto="1"/>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bottom style="thin">
          <color auto="1"/>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bottom style="thin">
          <color auto="1"/>
        </bottom>
      </border>
    </dxf>
    <dxf>
      <font>
        <color theme="9" tint="-0.499984740745262"/>
      </font>
      <fill>
        <patternFill patternType="solid">
          <bgColor theme="2"/>
        </patternFill>
      </fill>
    </dxf>
    <dxf>
      <font>
        <color theme="9" tint="-0.499984740745262"/>
      </font>
      <fill>
        <patternFill patternType="solid">
          <bgColor theme="2"/>
        </patternFill>
      </fill>
    </dxf>
    <dxf>
      <font>
        <color theme="9" tint="-0.499984740745262"/>
      </font>
      <fill>
        <patternFill patternType="solid">
          <bgColor theme="2"/>
        </patternFill>
      </fill>
    </dxf>
    <dxf>
      <font>
        <color theme="9" tint="-0.499984740745262"/>
      </font>
      <fill>
        <patternFill patternType="solid">
          <bgColor theme="2"/>
        </patternFill>
      </fill>
    </dxf>
  </dxfs>
  <tableStyles count="0" defaultTableStyle="TableStyleMedium2" defaultPivotStyle="PivotStyleLight16"/>
  <colors>
    <mruColors>
      <color rgb="FFE7E6E6"/>
      <color rgb="FFDF823D"/>
      <color rgb="FFA0C822"/>
      <color rgb="FFE8AFE9"/>
      <color rgb="FFFFCC99"/>
      <color rgb="FF3F3F76"/>
      <color rgb="FF77F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63"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eetMetadata" Target="metadata.xml"/><Relationship Id="rId5" Type="http://schemas.openxmlformats.org/officeDocument/2006/relationships/worksheet" Target="worksheets/sheet5.xml"/><Relationship Id="rId61"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64" Type="http://schemas.microsoft.com/office/2006/relationships/vbaProject" Target="vbaProject.bin"/><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3</xdr:row>
      <xdr:rowOff>180974</xdr:rowOff>
    </xdr:from>
    <xdr:to>
      <xdr:col>9</xdr:col>
      <xdr:colOff>1</xdr:colOff>
      <xdr:row>30</xdr:row>
      <xdr:rowOff>158749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8575" y="1095374"/>
          <a:ext cx="6035676" cy="4949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On the </a:t>
          </a:r>
          <a:r>
            <a:rPr lang="en-US" sz="1100" b="1" i="1">
              <a:solidFill>
                <a:schemeClr val="dk1"/>
              </a:solidFill>
              <a:effectLst/>
              <a:latin typeface="+mn-lt"/>
              <a:ea typeface="+mn-ea"/>
              <a:cs typeface="+mn-cs"/>
            </a:rPr>
            <a:t>Respondent Information</a:t>
          </a:r>
          <a:r>
            <a:rPr lang="en-US" sz="1100">
              <a:solidFill>
                <a:schemeClr val="dk1"/>
              </a:solidFill>
              <a:effectLst/>
              <a:latin typeface="+mn-lt"/>
              <a:ea typeface="+mn-ea"/>
              <a:cs typeface="+mn-cs"/>
            </a:rPr>
            <a:t> tab, complete the general information in the input fields at the top.</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Input fields will appear as the example to the right. </a:t>
          </a:r>
        </a:p>
        <a:p>
          <a:r>
            <a:rPr lang="en-US" sz="1100">
              <a:solidFill>
                <a:schemeClr val="dk1"/>
              </a:solidFill>
              <a:effectLst/>
              <a:latin typeface="+mn-lt"/>
              <a:ea typeface="+mn-ea"/>
              <a:cs typeface="+mn-cs"/>
            </a:rPr>
            <a:t>You will find this consistent throughout the tool, so that the cells that the</a:t>
          </a:r>
        </a:p>
        <a:p>
          <a:r>
            <a:rPr lang="en-US" sz="1100">
              <a:solidFill>
                <a:schemeClr val="dk1"/>
              </a:solidFill>
              <a:effectLst/>
              <a:latin typeface="+mn-lt"/>
              <a:ea typeface="+mn-ea"/>
              <a:cs typeface="+mn-cs"/>
            </a:rPr>
            <a:t>Respondent must complete are easy to find.</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respondent’s submissions for all Submission Requirements and Evaluation Criteria  shall answer all questions using the same three (3) contracts throughout, unless otherwise specified in a specific Submission Requirement Component (SRC). The Managed Care Plan shall select contracts chosen in the order described below. If the respondent (including the respondent's parent, affiliate(s), or subsidiary(ies)) has multiple contracts within the same numbered category, all contracts in that category, ordered from the greatest to the least number of enrollees, must be chosen before any contracts in the next category can be selected.</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1) Florida Medicaid managed care contracts</a:t>
          </a:r>
        </a:p>
        <a:p>
          <a:r>
            <a:rPr lang="en-US" sz="1100">
              <a:solidFill>
                <a:schemeClr val="dk1"/>
              </a:solidFill>
              <a:effectLst/>
              <a:latin typeface="+mn-lt"/>
              <a:ea typeface="+mn-ea"/>
              <a:cs typeface="+mn-cs"/>
            </a:rPr>
            <a:t>      2) Contracts with another state’s Medicaid managed care program</a:t>
          </a:r>
        </a:p>
        <a:p>
          <a:r>
            <a:rPr lang="en-US" sz="1100">
              <a:solidFill>
                <a:schemeClr val="dk1"/>
              </a:solidFill>
              <a:effectLst/>
              <a:latin typeface="+mn-lt"/>
              <a:ea typeface="+mn-ea"/>
              <a:cs typeface="+mn-cs"/>
            </a:rPr>
            <a:t>      3) Florida Child Health Insurance Program (CHIP) managed care contracts</a:t>
          </a:r>
        </a:p>
        <a:p>
          <a:r>
            <a:rPr lang="en-US" sz="1100">
              <a:solidFill>
                <a:schemeClr val="dk1"/>
              </a:solidFill>
              <a:effectLst/>
              <a:latin typeface="+mn-lt"/>
              <a:ea typeface="+mn-ea"/>
              <a:cs typeface="+mn-cs"/>
            </a:rPr>
            <a:t>      4) CHIP managed care contracts with another state</a:t>
          </a:r>
        </a:p>
        <a:p>
          <a:r>
            <a:rPr lang="en-US" sz="1100">
              <a:solidFill>
                <a:schemeClr val="dk1"/>
              </a:solidFill>
              <a:effectLst/>
              <a:latin typeface="+mn-lt"/>
              <a:ea typeface="+mn-ea"/>
              <a:cs typeface="+mn-cs"/>
            </a:rPr>
            <a:t>      5) Medicare managed care contracts</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Note</a:t>
          </a:r>
          <a:r>
            <a:rPr lang="en-US" sz="1100">
              <a:solidFill>
                <a:schemeClr val="dk1"/>
              </a:solidFill>
              <a:effectLst/>
              <a:latin typeface="+mn-lt"/>
              <a:ea typeface="+mn-ea"/>
              <a:cs typeface="+mn-cs"/>
            </a:rPr>
            <a:t>: Many SRCs will include fields for regions. The “region” fields only apply to Florida contracts. For contracts outside of Florida, these fields are inactive.</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As you complete data entry, the </a:t>
          </a:r>
          <a:r>
            <a:rPr lang="en-US" sz="1100" b="1">
              <a:solidFill>
                <a:schemeClr val="dk1"/>
              </a:solidFill>
              <a:effectLst/>
              <a:latin typeface="+mn-lt"/>
              <a:ea typeface="+mn-ea"/>
              <a:cs typeface="+mn-cs"/>
            </a:rPr>
            <a:t>Scores</a:t>
          </a:r>
          <a:r>
            <a:rPr lang="en-US" sz="1100">
              <a:solidFill>
                <a:schemeClr val="dk1"/>
              </a:solidFill>
              <a:effectLst/>
              <a:latin typeface="+mn-lt"/>
              <a:ea typeface="+mn-ea"/>
              <a:cs typeface="+mn-cs"/>
            </a:rPr>
            <a:t> table on the </a:t>
          </a:r>
          <a:r>
            <a:rPr lang="en-US" sz="1100" b="1" i="1">
              <a:solidFill>
                <a:schemeClr val="dk1"/>
              </a:solidFill>
              <a:effectLst/>
              <a:latin typeface="+mn-lt"/>
              <a:ea typeface="+mn-ea"/>
              <a:cs typeface="+mn-cs"/>
            </a:rPr>
            <a:t>Respondent Information</a:t>
          </a:r>
          <a:r>
            <a:rPr lang="en-US" sz="1100">
              <a:solidFill>
                <a:schemeClr val="dk1"/>
              </a:solidFill>
              <a:effectLst/>
              <a:latin typeface="+mn-lt"/>
              <a:ea typeface="+mn-ea"/>
              <a:cs typeface="+mn-cs"/>
            </a:rPr>
            <a:t> tab will populate with tabulated data. Some results may not appear until the data entry process is complete. When your data entry tasks are complete, the </a:t>
          </a:r>
          <a:r>
            <a:rPr lang="en-US" sz="1100" b="1">
              <a:solidFill>
                <a:schemeClr val="dk1"/>
              </a:solidFill>
              <a:effectLst/>
              <a:latin typeface="+mn-lt"/>
              <a:ea typeface="+mn-ea"/>
              <a:cs typeface="+mn-cs"/>
            </a:rPr>
            <a:t>Scores </a:t>
          </a:r>
          <a:r>
            <a:rPr lang="en-US" sz="1100">
              <a:solidFill>
                <a:schemeClr val="dk1"/>
              </a:solidFill>
              <a:effectLst/>
              <a:latin typeface="+mn-lt"/>
              <a:ea typeface="+mn-ea"/>
              <a:cs typeface="+mn-cs"/>
            </a:rPr>
            <a:t>table will indicate this, and you are ready to submit your report to AHCA.  Once completed, this exhibit must be submitted as specified in </a:t>
          </a:r>
          <a:r>
            <a:rPr lang="en-US" sz="1100" b="1">
              <a:solidFill>
                <a:schemeClr val="dk1"/>
              </a:solidFill>
              <a:effectLst/>
              <a:latin typeface="+mn-lt"/>
              <a:ea typeface="+mn-ea"/>
              <a:cs typeface="+mn-cs"/>
            </a:rPr>
            <a:t>Attachment A</a:t>
          </a:r>
          <a:r>
            <a:rPr lang="en-US" sz="1100">
              <a:solidFill>
                <a:schemeClr val="dk1"/>
              </a:solidFill>
              <a:effectLst/>
              <a:latin typeface="+mn-lt"/>
              <a:ea typeface="+mn-ea"/>
              <a:cs typeface="+mn-cs"/>
            </a:rPr>
            <a:t>, Instructions and Special Conditions, </a:t>
          </a:r>
          <a:r>
            <a:rPr lang="en-US" sz="1100" b="1">
              <a:solidFill>
                <a:schemeClr val="dk1"/>
              </a:solidFill>
              <a:effectLst/>
              <a:latin typeface="+mn-lt"/>
              <a:ea typeface="+mn-ea"/>
              <a:cs typeface="+mn-cs"/>
            </a:rPr>
            <a:t>Sub-Section C</a:t>
          </a:r>
          <a:r>
            <a:rPr lang="en-US" sz="1100">
              <a:solidFill>
                <a:schemeClr val="dk1"/>
              </a:solidFill>
              <a:effectLst/>
              <a:latin typeface="+mn-lt"/>
              <a:ea typeface="+mn-ea"/>
              <a:cs typeface="+mn-cs"/>
            </a:rPr>
            <a:t>, Response Submission Requirements. </a:t>
          </a:r>
        </a:p>
        <a:p>
          <a:endParaRPr lang="en-US" sz="1100">
            <a:solidFill>
              <a:schemeClr val="dk1"/>
            </a:solidFill>
            <a:effectLst/>
            <a:latin typeface="+mn-lt"/>
            <a:ea typeface="+mn-ea"/>
            <a:cs typeface="+mn-cs"/>
          </a:endParaRPr>
        </a:p>
      </xdr:txBody>
    </xdr:sp>
    <xdr:clientData/>
  </xdr:twoCellAnchor>
  <xdr:twoCellAnchor editAs="oneCell">
    <xdr:from>
      <xdr:col>6</xdr:col>
      <xdr:colOff>104775</xdr:colOff>
      <xdr:row>5</xdr:row>
      <xdr:rowOff>123825</xdr:rowOff>
    </xdr:from>
    <xdr:to>
      <xdr:col>8</xdr:col>
      <xdr:colOff>314538</xdr:colOff>
      <xdr:row>8</xdr:row>
      <xdr:rowOff>104852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4600575" y="1419225"/>
          <a:ext cx="1524213" cy="5525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609600</xdr:colOff>
          <xdr:row>8</xdr:row>
          <xdr:rowOff>0</xdr:rowOff>
        </xdr:from>
        <xdr:to>
          <xdr:col>20</xdr:col>
          <xdr:colOff>9525</xdr:colOff>
          <xdr:row>11</xdr:row>
          <xdr:rowOff>0</xdr:rowOff>
        </xdr:to>
        <xdr:sp macro="" textlink="">
          <xdr:nvSpPr>
            <xdr:cNvPr id="1027" name="Button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Contract 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0</xdr:rowOff>
        </xdr:from>
        <xdr:to>
          <xdr:col>3</xdr:col>
          <xdr:colOff>600075</xdr:colOff>
          <xdr:row>10</xdr:row>
          <xdr:rowOff>180975</xdr:rowOff>
        </xdr:to>
        <xdr:sp macro="" textlink="">
          <xdr:nvSpPr>
            <xdr:cNvPr id="1028" name="Button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Contract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600075</xdr:colOff>
          <xdr:row>3</xdr:row>
          <xdr:rowOff>9525</xdr:rowOff>
        </xdr:from>
        <xdr:to>
          <xdr:col>4</xdr:col>
          <xdr:colOff>0</xdr:colOff>
          <xdr:row>6</xdr:row>
          <xdr:rowOff>0</xdr:rowOff>
        </xdr:to>
        <xdr:sp macro="" textlink="">
          <xdr:nvSpPr>
            <xdr:cNvPr id="1029" name="Button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Hide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8</xdr:row>
          <xdr:rowOff>0</xdr:rowOff>
        </xdr:from>
        <xdr:to>
          <xdr:col>7</xdr:col>
          <xdr:colOff>609600</xdr:colOff>
          <xdr:row>10</xdr:row>
          <xdr:rowOff>180975</xdr:rowOff>
        </xdr:to>
        <xdr:sp macro="" textlink="">
          <xdr:nvSpPr>
            <xdr:cNvPr id="1030" name="Button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Contract 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8</xdr:row>
          <xdr:rowOff>9525</xdr:rowOff>
        </xdr:from>
        <xdr:to>
          <xdr:col>12</xdr:col>
          <xdr:colOff>0</xdr:colOff>
          <xdr:row>11</xdr:row>
          <xdr:rowOff>0</xdr:rowOff>
        </xdr:to>
        <xdr:sp macro="" textlink="">
          <xdr:nvSpPr>
            <xdr:cNvPr id="1031" name="Button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Contract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8</xdr:row>
          <xdr:rowOff>0</xdr:rowOff>
        </xdr:from>
        <xdr:to>
          <xdr:col>16</xdr:col>
          <xdr:colOff>0</xdr:colOff>
          <xdr:row>11</xdr:row>
          <xdr:rowOff>0</xdr:rowOff>
        </xdr:to>
        <xdr:sp macro="" textlink="">
          <xdr:nvSpPr>
            <xdr:cNvPr id="1032" name="Button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Contract 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9525</xdr:colOff>
          <xdr:row>8</xdr:row>
          <xdr:rowOff>0</xdr:rowOff>
        </xdr:from>
        <xdr:to>
          <xdr:col>24</xdr:col>
          <xdr:colOff>0</xdr:colOff>
          <xdr:row>11</xdr:row>
          <xdr:rowOff>9525</xdr:rowOff>
        </xdr:to>
        <xdr:sp macro="" textlink="">
          <xdr:nvSpPr>
            <xdr:cNvPr id="1033" name="Button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Contract 6</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14</xdr:row>
          <xdr:rowOff>9525</xdr:rowOff>
        </xdr:from>
        <xdr:to>
          <xdr:col>4</xdr:col>
          <xdr:colOff>9525</xdr:colOff>
          <xdr:row>17</xdr:row>
          <xdr:rowOff>9525</xdr:rowOff>
        </xdr:to>
        <xdr:sp macro="" textlink="">
          <xdr:nvSpPr>
            <xdr:cNvPr id="1034" name="Button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Specialty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xdr:row>
          <xdr:rowOff>323850</xdr:rowOff>
        </xdr:from>
        <xdr:to>
          <xdr:col>7</xdr:col>
          <xdr:colOff>600075</xdr:colOff>
          <xdr:row>17</xdr:row>
          <xdr:rowOff>0</xdr:rowOff>
        </xdr:to>
        <xdr:sp macro="" textlink="">
          <xdr:nvSpPr>
            <xdr:cNvPr id="1035" name="Button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Specialty 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13</xdr:row>
          <xdr:rowOff>323850</xdr:rowOff>
        </xdr:from>
        <xdr:to>
          <xdr:col>12</xdr:col>
          <xdr:colOff>9525</xdr:colOff>
          <xdr:row>17</xdr:row>
          <xdr:rowOff>0</xdr:rowOff>
        </xdr:to>
        <xdr:sp macro="" textlink="">
          <xdr:nvSpPr>
            <xdr:cNvPr id="1036" name="Button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Specialty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14</xdr:row>
          <xdr:rowOff>0</xdr:rowOff>
        </xdr:from>
        <xdr:to>
          <xdr:col>16</xdr:col>
          <xdr:colOff>9525</xdr:colOff>
          <xdr:row>16</xdr:row>
          <xdr:rowOff>180975</xdr:rowOff>
        </xdr:to>
        <xdr:sp macro="" textlink="">
          <xdr:nvSpPr>
            <xdr:cNvPr id="1037" name="Button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Specialty 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20</xdr:row>
          <xdr:rowOff>9525</xdr:rowOff>
        </xdr:from>
        <xdr:to>
          <xdr:col>4</xdr:col>
          <xdr:colOff>0</xdr:colOff>
          <xdr:row>23</xdr:row>
          <xdr:rowOff>0</xdr:rowOff>
        </xdr:to>
        <xdr:sp macro="" textlink="">
          <xdr:nvSpPr>
            <xdr:cNvPr id="1038" name="Button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MMA Only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20</xdr:row>
          <xdr:rowOff>0</xdr:rowOff>
        </xdr:from>
        <xdr:to>
          <xdr:col>7</xdr:col>
          <xdr:colOff>571500</xdr:colOff>
          <xdr:row>23</xdr:row>
          <xdr:rowOff>9525</xdr:rowOff>
        </xdr:to>
        <xdr:sp macro="" textlink="">
          <xdr:nvSpPr>
            <xdr:cNvPr id="1039" name="Button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MMA Only 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19</xdr:row>
          <xdr:rowOff>323850</xdr:rowOff>
        </xdr:from>
        <xdr:to>
          <xdr:col>12</xdr:col>
          <xdr:colOff>0</xdr:colOff>
          <xdr:row>23</xdr:row>
          <xdr:rowOff>19050</xdr:rowOff>
        </xdr:to>
        <xdr:sp macro="" textlink="">
          <xdr:nvSpPr>
            <xdr:cNvPr id="1040" name="Button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MMA Only 3</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13</xdr:col>
      <xdr:colOff>0</xdr:colOff>
      <xdr:row>3</xdr:row>
      <xdr:rowOff>180975</xdr:rowOff>
    </xdr:to>
    <xdr:sp macro="[0]!Rectangle1_Click" textlink="">
      <xdr:nvSpPr>
        <xdr:cNvPr id="25" name="Rectangle 6">
          <a:extLst>
            <a:ext uri="{FF2B5EF4-FFF2-40B4-BE49-F238E27FC236}">
              <a16:creationId xmlns:a16="http://schemas.microsoft.com/office/drawing/2014/main" id="{00000000-0008-0000-0200-000019000000}"/>
            </a:ext>
          </a:extLst>
        </xdr:cNvPr>
        <xdr:cNvSpPr/>
      </xdr:nvSpPr>
      <xdr:spPr>
        <a:xfrm>
          <a:off x="0" y="695325"/>
          <a:ext cx="172497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0</xdr:row>
      <xdr:rowOff>0</xdr:rowOff>
    </xdr:from>
    <xdr:to>
      <xdr:col>13</xdr:col>
      <xdr:colOff>0</xdr:colOff>
      <xdr:row>0</xdr:row>
      <xdr:rowOff>180975</xdr:rowOff>
    </xdr:to>
    <xdr:sp macro="[0]!Rectangle1_Click" textlink="">
      <xdr:nvSpPr>
        <xdr:cNvPr id="31" name="Rectangle 23">
          <a:extLst>
            <a:ext uri="{FF2B5EF4-FFF2-40B4-BE49-F238E27FC236}">
              <a16:creationId xmlns:a16="http://schemas.microsoft.com/office/drawing/2014/main" id="{00000000-0008-0000-0200-00001F000000}"/>
            </a:ext>
          </a:extLst>
        </xdr:cNvPr>
        <xdr:cNvSpPr/>
      </xdr:nvSpPr>
      <xdr:spPr>
        <a:xfrm>
          <a:off x="0" y="0"/>
          <a:ext cx="172497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4</xdr:row>
      <xdr:rowOff>0</xdr:rowOff>
    </xdr:from>
    <xdr:to>
      <xdr:col>8</xdr:col>
      <xdr:colOff>571500</xdr:colOff>
      <xdr:row>33</xdr:row>
      <xdr:rowOff>120650</xdr:rowOff>
    </xdr:to>
    <xdr:sp macro="" textlink="">
      <xdr:nvSpPr>
        <xdr:cNvPr id="3" name="TextBox 1">
          <a:extLst>
            <a:ext uri="{FF2B5EF4-FFF2-40B4-BE49-F238E27FC236}">
              <a16:creationId xmlns:a16="http://schemas.microsoft.com/office/drawing/2014/main" id="{00000000-0008-0000-0300-000003000000}"/>
            </a:ext>
          </a:extLst>
        </xdr:cNvPr>
        <xdr:cNvSpPr txBox="1"/>
      </xdr:nvSpPr>
      <xdr:spPr>
        <a:xfrm>
          <a:off x="85725" y="850900"/>
          <a:ext cx="5362575" cy="546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Scoring will be designated based upon the following criteria:</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The three-year average percentage of attributed enrollees in a LAN 2A+ VBP agreement.</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20% or higher = 20 Points</a:t>
          </a:r>
        </a:p>
        <a:p>
          <a:r>
            <a:rPr lang="en-US" sz="1100">
              <a:solidFill>
                <a:schemeClr val="dk1"/>
              </a:solidFill>
              <a:effectLst/>
              <a:latin typeface="+mn-lt"/>
              <a:ea typeface="+mn-ea"/>
              <a:cs typeface="+mn-cs"/>
            </a:rPr>
            <a:t>10-19.99% = 10 Points</a:t>
          </a:r>
        </a:p>
        <a:p>
          <a:r>
            <a:rPr lang="en-US" sz="1100">
              <a:solidFill>
                <a:schemeClr val="dk1"/>
              </a:solidFill>
              <a:effectLst/>
              <a:latin typeface="+mn-lt"/>
              <a:ea typeface="+mn-ea"/>
              <a:cs typeface="+mn-cs"/>
            </a:rPr>
            <a:t>5-9.99% = 5 Points</a:t>
          </a:r>
        </a:p>
        <a:p>
          <a:r>
            <a:rPr lang="en-US" sz="1100">
              <a:solidFill>
                <a:schemeClr val="dk1"/>
              </a:solidFill>
              <a:effectLst/>
              <a:latin typeface="+mn-lt"/>
              <a:ea typeface="+mn-ea"/>
              <a:cs typeface="+mn-cs"/>
            </a:rPr>
            <a:t>1-4.99% = 1 Point</a:t>
          </a:r>
        </a:p>
        <a:p>
          <a:r>
            <a:rPr lang="en-US" sz="1100">
              <a:solidFill>
                <a:schemeClr val="dk1"/>
              </a:solidFill>
              <a:effectLst/>
              <a:latin typeface="+mn-lt"/>
              <a:ea typeface="+mn-ea"/>
              <a:cs typeface="+mn-cs"/>
            </a:rPr>
            <a:t>below 1%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The three-year average percentage of claim-based expenditures in LAN 3A+ VBP agreements.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20% or higher = 20 Points</a:t>
          </a:r>
        </a:p>
        <a:p>
          <a:r>
            <a:rPr lang="en-US" sz="1100">
              <a:solidFill>
                <a:schemeClr val="dk1"/>
              </a:solidFill>
              <a:effectLst/>
              <a:latin typeface="+mn-lt"/>
              <a:ea typeface="+mn-ea"/>
              <a:cs typeface="+mn-cs"/>
            </a:rPr>
            <a:t>10-19.99% = 10 Points</a:t>
          </a:r>
        </a:p>
        <a:p>
          <a:r>
            <a:rPr lang="en-US" sz="1100">
              <a:solidFill>
                <a:schemeClr val="dk1"/>
              </a:solidFill>
              <a:effectLst/>
              <a:latin typeface="+mn-lt"/>
              <a:ea typeface="+mn-ea"/>
              <a:cs typeface="+mn-cs"/>
            </a:rPr>
            <a:t>5-9.99% = 5 Points</a:t>
          </a:r>
        </a:p>
        <a:p>
          <a:r>
            <a:rPr lang="en-US" sz="1100">
              <a:solidFill>
                <a:schemeClr val="dk1"/>
              </a:solidFill>
              <a:effectLst/>
              <a:latin typeface="+mn-lt"/>
              <a:ea typeface="+mn-ea"/>
              <a:cs typeface="+mn-cs"/>
            </a:rPr>
            <a:t>1-4.99% = 1 Point</a:t>
          </a:r>
        </a:p>
        <a:p>
          <a:r>
            <a:rPr lang="en-US" sz="1100">
              <a:solidFill>
                <a:schemeClr val="dk1"/>
              </a:solidFill>
              <a:effectLst/>
              <a:latin typeface="+mn-lt"/>
              <a:ea typeface="+mn-ea"/>
              <a:cs typeface="+mn-cs"/>
            </a:rPr>
            <a:t>below 1% = 0 Points  </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The total number of points is the sum of all individual weighted points earned for all three states.</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Weighting will be applied based on geographic area of the VBP arrangements.  </a:t>
          </a:r>
        </a:p>
        <a:p>
          <a:r>
            <a:rPr lang="en-US" sz="1100">
              <a:solidFill>
                <a:schemeClr val="dk1"/>
              </a:solidFill>
              <a:effectLst/>
              <a:latin typeface="+mn-lt"/>
              <a:ea typeface="+mn-ea"/>
              <a:cs typeface="+mn-cs"/>
            </a:rPr>
            <a:t>• Florida VBP arrangements will receive 100% of the state points earned.</a:t>
          </a:r>
        </a:p>
        <a:p>
          <a:r>
            <a:rPr lang="en-US" sz="1100">
              <a:solidFill>
                <a:schemeClr val="dk1"/>
              </a:solidFill>
              <a:effectLst/>
              <a:latin typeface="+mn-lt"/>
              <a:ea typeface="+mn-ea"/>
              <a:cs typeface="+mn-cs"/>
            </a:rPr>
            <a:t>• Non-Florida VBP arrangements will receive 90% of the state points earned.</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 total earned points possible is 120.</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 maximum Final Score Possible is 370.</a:t>
          </a:r>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The Final</a:t>
          </a:r>
          <a:r>
            <a:rPr lang="en-US" sz="1100" b="1" baseline="0">
              <a:solidFill>
                <a:schemeClr val="dk1"/>
              </a:solidFill>
              <a:effectLst/>
              <a:latin typeface="+mn-lt"/>
              <a:ea typeface="+mn-ea"/>
              <a:cs typeface="+mn-cs"/>
            </a:rPr>
            <a:t> Score is calculated by multiplying the percentage of total points earned out of total points possible by the maximum Final Score Possible.</a:t>
          </a:r>
          <a:endParaRPr lang="en-US" sz="1100">
            <a:solidFill>
              <a:srgbClr val="FF0000"/>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85725</xdr:colOff>
      <xdr:row>8</xdr:row>
      <xdr:rowOff>66676</xdr:rowOff>
    </xdr:to>
    <xdr:sp macro="[0]!Rectangle1_Click" textlink="">
      <xdr:nvSpPr>
        <xdr:cNvPr id="2" name="Rectangle 1">
          <a:extLst>
            <a:ext uri="{FF2B5EF4-FFF2-40B4-BE49-F238E27FC236}">
              <a16:creationId xmlns:a16="http://schemas.microsoft.com/office/drawing/2014/main" id="{00000000-0008-0000-0400-000002000000}"/>
            </a:ext>
          </a:extLst>
        </xdr:cNvPr>
        <xdr:cNvSpPr/>
      </xdr:nvSpPr>
      <xdr:spPr>
        <a:xfrm>
          <a:off x="0" y="0"/>
          <a:ext cx="6248400" cy="19240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9</xdr:row>
      <xdr:rowOff>9525</xdr:rowOff>
    </xdr:from>
    <xdr:to>
      <xdr:col>6</xdr:col>
      <xdr:colOff>0</xdr:colOff>
      <xdr:row>510</xdr:row>
      <xdr:rowOff>42862</xdr:rowOff>
    </xdr:to>
    <xdr:sp macro="[0]!Rectangle1_Click" textlink="">
      <xdr:nvSpPr>
        <xdr:cNvPr id="5" name="Rectangle 4">
          <a:extLst>
            <a:ext uri="{FF2B5EF4-FFF2-40B4-BE49-F238E27FC236}">
              <a16:creationId xmlns:a16="http://schemas.microsoft.com/office/drawing/2014/main" id="{00000000-0008-0000-0400-000005000000}"/>
            </a:ext>
          </a:extLst>
        </xdr:cNvPr>
        <xdr:cNvSpPr/>
      </xdr:nvSpPr>
      <xdr:spPr>
        <a:xfrm>
          <a:off x="8858250" y="2057400"/>
          <a:ext cx="3257550" cy="958548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512</xdr:row>
      <xdr:rowOff>168274</xdr:rowOff>
    </xdr:from>
    <xdr:to>
      <xdr:col>7</xdr:col>
      <xdr:colOff>2341562</xdr:colOff>
      <xdr:row>539</xdr:row>
      <xdr:rowOff>152399</xdr:rowOff>
    </xdr:to>
    <xdr:sp macro="[0]!Rectangle1_Click" textlink="">
      <xdr:nvSpPr>
        <xdr:cNvPr id="8" name="Rectangle 5">
          <a:extLst>
            <a:ext uri="{FF2B5EF4-FFF2-40B4-BE49-F238E27FC236}">
              <a16:creationId xmlns:a16="http://schemas.microsoft.com/office/drawing/2014/main" id="{00000000-0008-0000-0400-000008000000}"/>
            </a:ext>
          </a:extLst>
        </xdr:cNvPr>
        <xdr:cNvSpPr/>
      </xdr:nvSpPr>
      <xdr:spPr>
        <a:xfrm>
          <a:off x="0" y="95259524"/>
          <a:ext cx="17543462" cy="8308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3328194</xdr:colOff>
      <xdr:row>9</xdr:row>
      <xdr:rowOff>9525</xdr:rowOff>
    </xdr:from>
    <xdr:to>
      <xdr:col>3</xdr:col>
      <xdr:colOff>3969</xdr:colOff>
      <xdr:row>510</xdr:row>
      <xdr:rowOff>55562</xdr:rowOff>
    </xdr:to>
    <xdr:sp macro="[0]!Rectangle1_Click" textlink="">
      <xdr:nvSpPr>
        <xdr:cNvPr id="3" name="Rectangle 2">
          <a:extLst>
            <a:ext uri="{FF2B5EF4-FFF2-40B4-BE49-F238E27FC236}">
              <a16:creationId xmlns:a16="http://schemas.microsoft.com/office/drawing/2014/main" id="{00000000-0008-0000-0400-000003000000}"/>
            </a:ext>
          </a:extLst>
        </xdr:cNvPr>
        <xdr:cNvSpPr/>
      </xdr:nvSpPr>
      <xdr:spPr>
        <a:xfrm>
          <a:off x="3328194" y="2057400"/>
          <a:ext cx="4212431" cy="958675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xdr:row>
      <xdr:rowOff>171450</xdr:rowOff>
    </xdr:from>
    <xdr:to>
      <xdr:col>22</xdr:col>
      <xdr:colOff>12700</xdr:colOff>
      <xdr:row>10</xdr:row>
      <xdr:rowOff>3176</xdr:rowOff>
    </xdr:to>
    <xdr:sp macro="[0]!Rectangle1_Click" textlink="">
      <xdr:nvSpPr>
        <xdr:cNvPr id="6" name="Rectangle 5">
          <a:extLst>
            <a:ext uri="{FF2B5EF4-FFF2-40B4-BE49-F238E27FC236}">
              <a16:creationId xmlns:a16="http://schemas.microsoft.com/office/drawing/2014/main" id="{00000000-0008-0000-0400-000006000000}"/>
            </a:ext>
          </a:extLst>
        </xdr:cNvPr>
        <xdr:cNvSpPr/>
      </xdr:nvSpPr>
      <xdr:spPr>
        <a:xfrm>
          <a:off x="0" y="2000250"/>
          <a:ext cx="45700950" cy="5683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114301</xdr:colOff>
      <xdr:row>5</xdr:row>
      <xdr:rowOff>19050</xdr:rowOff>
    </xdr:from>
    <xdr:to>
      <xdr:col>8</xdr:col>
      <xdr:colOff>552451</xdr:colOff>
      <xdr:row>46</xdr:row>
      <xdr:rowOff>28575</xdr:rowOff>
    </xdr:to>
    <xdr:sp macro="" textlink="">
      <xdr:nvSpPr>
        <xdr:cNvPr id="11" name="TextBox 1">
          <a:extLst>
            <a:ext uri="{FF2B5EF4-FFF2-40B4-BE49-F238E27FC236}">
              <a16:creationId xmlns:a16="http://schemas.microsoft.com/office/drawing/2014/main" id="{00000000-0008-0000-0500-00000B000000}"/>
            </a:ext>
          </a:extLst>
        </xdr:cNvPr>
        <xdr:cNvSpPr txBox="1"/>
      </xdr:nvSpPr>
      <xdr:spPr>
        <a:xfrm>
          <a:off x="114301" y="1028700"/>
          <a:ext cx="5314950" cy="782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Scoring will be designated based upon the following criteria:</a:t>
          </a:r>
          <a:endParaRPr lang="en-US" sz="1100" b="0">
            <a:solidFill>
              <a:schemeClr val="dk1"/>
            </a:solidFill>
            <a:effectLst/>
            <a:latin typeface="+mn-lt"/>
            <a:ea typeface="+mn-ea"/>
            <a:cs typeface="+mn-cs"/>
          </a:endParaRPr>
        </a:p>
        <a:p>
          <a:endParaRPr lang="en-US" sz="1100" b="1" u="sng">
            <a:solidFill>
              <a:schemeClr val="dk1"/>
            </a:solidFill>
            <a:effectLst/>
            <a:latin typeface="+mn-lt"/>
            <a:ea typeface="+mn-ea"/>
            <a:cs typeface="+mn-cs"/>
          </a:endParaRPr>
        </a:p>
        <a:p>
          <a:r>
            <a:rPr lang="en-US" sz="1100" b="1" u="sng">
              <a:solidFill>
                <a:schemeClr val="dk1"/>
              </a:solidFill>
              <a:effectLst/>
              <a:latin typeface="+mn-lt"/>
              <a:ea typeface="+mn-ea"/>
              <a:cs typeface="+mn-cs"/>
            </a:rPr>
            <a:t>Expanded Benefits Offered</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Over-the-counter medications and supplies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Yes = 25 Points; No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Adult visual aid services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Yes = 25 Points; No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Adult additional primary care services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Yes = 25 Points; No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Prenatal services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Yes = 20 Points; No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Durable medical equipment services and supplies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Yes = 20 Points; No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Physical therapy for adults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Yes = 20 Points; No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Newborn circumcision benefit</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Yes = 20 Points; No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Hearing services for adults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Yes = 10 Points; No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Occupational therapy for adults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Yes = 10 Points; No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Additional Expanded Benefits Proposed for:</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Pregnant women = 5 Points</a:t>
          </a:r>
        </a:p>
        <a:p>
          <a:r>
            <a:rPr lang="en-US" sz="1100">
              <a:solidFill>
                <a:schemeClr val="dk1"/>
              </a:solidFill>
              <a:effectLst/>
              <a:latin typeface="+mn-lt"/>
              <a:ea typeface="+mn-ea"/>
              <a:cs typeface="+mn-cs"/>
            </a:rPr>
            <a:t>Children and adolescents with serious mental illness and/or substance use disorder = 5 Points</a:t>
          </a:r>
        </a:p>
        <a:p>
          <a:r>
            <a:rPr lang="en-US" sz="1100">
              <a:solidFill>
                <a:schemeClr val="dk1"/>
              </a:solidFill>
              <a:effectLst/>
              <a:latin typeface="+mn-lt"/>
              <a:ea typeface="+mn-ea"/>
              <a:cs typeface="+mn-cs"/>
            </a:rPr>
            <a:t>Enrollees in a home and community-based setting,</a:t>
          </a:r>
          <a:r>
            <a:rPr lang="en-US" sz="1100" b="1">
              <a:solidFill>
                <a:schemeClr val="dk1"/>
              </a:solidFill>
              <a:effectLst/>
              <a:latin typeface="+mn-lt"/>
              <a:ea typeface="+mn-ea"/>
              <a:cs typeface="+mn-cs"/>
            </a:rPr>
            <a:t> </a:t>
          </a:r>
          <a:r>
            <a:rPr lang="en-US" sz="1100" b="0">
              <a:solidFill>
                <a:schemeClr val="dk1"/>
              </a:solidFill>
              <a:effectLst/>
              <a:latin typeface="+mn-lt"/>
              <a:ea typeface="+mn-ea"/>
              <a:cs typeface="+mn-cs"/>
            </a:rPr>
            <a:t>such as people with developmental disabilities, familial dysautonomia, or people in  long term care settings</a:t>
          </a:r>
          <a:r>
            <a:rPr lang="en-US" sz="1100">
              <a:solidFill>
                <a:schemeClr val="dk1"/>
              </a:solidFill>
              <a:effectLst/>
              <a:latin typeface="+mn-lt"/>
              <a:ea typeface="+mn-ea"/>
              <a:cs typeface="+mn-cs"/>
            </a:rPr>
            <a:t>= 5 Points</a:t>
          </a:r>
        </a:p>
        <a:p>
          <a:r>
            <a:rPr lang="en-US" sz="1100">
              <a:solidFill>
                <a:schemeClr val="dk1"/>
              </a:solidFill>
              <a:effectLst/>
              <a:latin typeface="+mn-lt"/>
              <a:ea typeface="+mn-ea"/>
              <a:cs typeface="+mn-cs"/>
            </a:rPr>
            <a:t>People living with HIV = 5 Points</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 total number of points is the sum of all individual points earned.</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 total earned points possible is 195.</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 maximum Final Score Possible is 370.</a:t>
          </a:r>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The Final Score is calculated by multiplying the percentage of total points earned out of total points possible by the maximum Final Score Possible.</a:t>
          </a:r>
          <a:endParaRPr lang="en-US"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80282</xdr:colOff>
      <xdr:row>3</xdr:row>
      <xdr:rowOff>95250</xdr:rowOff>
    </xdr:from>
    <xdr:to>
      <xdr:col>8</xdr:col>
      <xdr:colOff>561975</xdr:colOff>
      <xdr:row>45</xdr:row>
      <xdr:rowOff>133350</xdr:rowOff>
    </xdr:to>
    <xdr:sp macro="" textlink="">
      <xdr:nvSpPr>
        <xdr:cNvPr id="57" name="TextBox 1">
          <a:extLst>
            <a:ext uri="{FF2B5EF4-FFF2-40B4-BE49-F238E27FC236}">
              <a16:creationId xmlns:a16="http://schemas.microsoft.com/office/drawing/2014/main" id="{00000000-0008-0000-0700-000039000000}"/>
            </a:ext>
          </a:extLst>
        </xdr:cNvPr>
        <xdr:cNvSpPr txBox="1"/>
      </xdr:nvSpPr>
      <xdr:spPr>
        <a:xfrm>
          <a:off x="80282" y="819150"/>
          <a:ext cx="5739493" cy="803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Scoring will be designated based upon the following criteria:</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Number of obstetrician (OB) physicians in network that have specialty certification in Maternal Fetal Medicine (MFM) at the time of application submission.</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10 or more MFM physicians = 7 Points</a:t>
          </a:r>
        </a:p>
        <a:p>
          <a:r>
            <a:rPr lang="en-US" sz="1100">
              <a:solidFill>
                <a:schemeClr val="dk1"/>
              </a:solidFill>
              <a:effectLst/>
              <a:latin typeface="+mn-lt"/>
              <a:ea typeface="+mn-ea"/>
              <a:cs typeface="+mn-cs"/>
            </a:rPr>
            <a:t>5 to 9 MFM physicians = 5 Points</a:t>
          </a:r>
        </a:p>
        <a:p>
          <a:r>
            <a:rPr lang="en-US" sz="1100">
              <a:solidFill>
                <a:schemeClr val="dk1"/>
              </a:solidFill>
              <a:effectLst/>
              <a:latin typeface="+mn-lt"/>
              <a:ea typeface="+mn-ea"/>
              <a:cs typeface="+mn-cs"/>
            </a:rPr>
            <a:t>1 to 4 MFM physicians = 2 Points</a:t>
          </a:r>
        </a:p>
        <a:p>
          <a:r>
            <a:rPr lang="en-US" sz="1100">
              <a:solidFill>
                <a:schemeClr val="dk1"/>
              </a:solidFill>
              <a:effectLst/>
              <a:latin typeface="+mn-lt"/>
              <a:ea typeface="+mn-ea"/>
              <a:cs typeface="+mn-cs"/>
            </a:rPr>
            <a:t>0 MFM physicians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Average rate of Nulliparous, Term, Singleton, Vertex (NTSV) Cesarean Births, as a percentage of all deliveries in CY2022 for all OB physicians in proposed network.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NTSV C-section rate 23.6% or lower = 9 Points</a:t>
          </a:r>
        </a:p>
        <a:p>
          <a:r>
            <a:rPr lang="en-US" sz="1100">
              <a:solidFill>
                <a:schemeClr val="dk1"/>
              </a:solidFill>
              <a:effectLst/>
              <a:latin typeface="+mn-lt"/>
              <a:ea typeface="+mn-ea"/>
              <a:cs typeface="+mn-cs"/>
            </a:rPr>
            <a:t>NTSV rate 23.7% to 25.6% = 5 Points</a:t>
          </a:r>
        </a:p>
        <a:p>
          <a:r>
            <a:rPr lang="en-US" sz="1100">
              <a:solidFill>
                <a:schemeClr val="dk1"/>
              </a:solidFill>
              <a:effectLst/>
              <a:latin typeface="+mn-lt"/>
              <a:ea typeface="+mn-ea"/>
              <a:cs typeface="+mn-cs"/>
            </a:rPr>
            <a:t>NTSV rate 25.7% to 28.6% = 1 Point</a:t>
          </a:r>
        </a:p>
        <a:p>
          <a:r>
            <a:rPr lang="en-US" sz="1100">
              <a:solidFill>
                <a:schemeClr val="dk1"/>
              </a:solidFill>
              <a:effectLst/>
              <a:latin typeface="+mn-lt"/>
              <a:ea typeface="+mn-ea"/>
              <a:cs typeface="+mn-cs"/>
            </a:rPr>
            <a:t>NTSV C-section rate greater than 28.6%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Number of OB physicians or other OB prescribing health care providers in network who are prescribed MAT drugs/therapies</a:t>
          </a:r>
          <a:r>
            <a:rPr lang="en-US" sz="1100" b="1" baseline="0">
              <a:solidFill>
                <a:schemeClr val="dk1"/>
              </a:solidFill>
              <a:effectLst/>
              <a:latin typeface="+mn-lt"/>
              <a:ea typeface="+mn-ea"/>
              <a:cs typeface="+mn-cs"/>
            </a:rPr>
            <a:t> during CY2022.</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10 or more providers = 9 Points</a:t>
          </a:r>
        </a:p>
        <a:p>
          <a:r>
            <a:rPr lang="en-US" sz="1100">
              <a:solidFill>
                <a:schemeClr val="dk1"/>
              </a:solidFill>
              <a:effectLst/>
              <a:latin typeface="+mn-lt"/>
              <a:ea typeface="+mn-ea"/>
              <a:cs typeface="+mn-cs"/>
            </a:rPr>
            <a:t>5 to 9 providers = 5 Points</a:t>
          </a:r>
        </a:p>
        <a:p>
          <a:r>
            <a:rPr lang="en-US" sz="1100">
              <a:solidFill>
                <a:schemeClr val="dk1"/>
              </a:solidFill>
              <a:effectLst/>
              <a:latin typeface="+mn-lt"/>
              <a:ea typeface="+mn-ea"/>
              <a:cs typeface="+mn-cs"/>
            </a:rPr>
            <a:t>1 to 4 providers = 1 Point</a:t>
          </a:r>
        </a:p>
        <a:p>
          <a:r>
            <a:rPr lang="en-US" sz="1100">
              <a:solidFill>
                <a:schemeClr val="dk1"/>
              </a:solidFill>
              <a:effectLst/>
              <a:latin typeface="+mn-lt"/>
              <a:ea typeface="+mn-ea"/>
              <a:cs typeface="+mn-cs"/>
            </a:rPr>
            <a:t>0 providers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Percent of OB physicians in network that are Black women.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Greater than 8.5% of OB physicians = 9 Points</a:t>
          </a:r>
        </a:p>
        <a:p>
          <a:r>
            <a:rPr lang="en-US" sz="1100">
              <a:solidFill>
                <a:schemeClr val="dk1"/>
              </a:solidFill>
              <a:effectLst/>
              <a:latin typeface="+mn-lt"/>
              <a:ea typeface="+mn-ea"/>
              <a:cs typeface="+mn-cs"/>
            </a:rPr>
            <a:t>1% to 8.5% of OB physicians = 4 Points</a:t>
          </a:r>
        </a:p>
        <a:p>
          <a:r>
            <a:rPr lang="en-US" sz="1100">
              <a:solidFill>
                <a:schemeClr val="dk1"/>
              </a:solidFill>
              <a:effectLst/>
              <a:latin typeface="+mn-lt"/>
              <a:ea typeface="+mn-ea"/>
              <a:cs typeface="+mn-cs"/>
            </a:rPr>
            <a:t>Less than 1% of OB physicians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Percent of OB physicians in network that are Hispanic women.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Greater than 13.4% of OB physicians = 9 Points</a:t>
          </a:r>
        </a:p>
        <a:p>
          <a:r>
            <a:rPr lang="en-US" sz="1100">
              <a:solidFill>
                <a:schemeClr val="dk1"/>
              </a:solidFill>
              <a:effectLst/>
              <a:latin typeface="+mn-lt"/>
              <a:ea typeface="+mn-ea"/>
              <a:cs typeface="+mn-cs"/>
            </a:rPr>
            <a:t>1% to 13.4% of OB physicians = 4 Points</a:t>
          </a:r>
        </a:p>
        <a:p>
          <a:r>
            <a:rPr lang="en-US" sz="1100">
              <a:solidFill>
                <a:schemeClr val="dk1"/>
              </a:solidFill>
              <a:effectLst/>
              <a:latin typeface="+mn-lt"/>
              <a:ea typeface="+mn-ea"/>
              <a:cs typeface="+mn-cs"/>
            </a:rPr>
            <a:t>Less than 1% of OB physicians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Percent of OB physicians who fluently speak English and Spanish.</a:t>
          </a:r>
          <a:endParaRPr lang="en-US" sz="1200">
            <a:effectLst/>
          </a:endParaRPr>
        </a:p>
        <a:p>
          <a:r>
            <a:rPr lang="en-US" sz="1100">
              <a:solidFill>
                <a:schemeClr val="dk1"/>
              </a:solidFill>
              <a:effectLst/>
              <a:latin typeface="+mn-lt"/>
              <a:ea typeface="+mn-ea"/>
              <a:cs typeface="+mn-cs"/>
            </a:rPr>
            <a:t>Greater than 26.8% of OB physicians = 9 Points</a:t>
          </a:r>
          <a:endParaRPr lang="en-US" sz="1200">
            <a:effectLst/>
          </a:endParaRPr>
        </a:p>
        <a:p>
          <a:r>
            <a:rPr lang="en-US" sz="1100">
              <a:solidFill>
                <a:schemeClr val="dk1"/>
              </a:solidFill>
              <a:effectLst/>
              <a:latin typeface="+mn-lt"/>
              <a:ea typeface="+mn-ea"/>
              <a:cs typeface="+mn-cs"/>
            </a:rPr>
            <a:t>13.4% to 26.8% of OB physicians = 7 Points</a:t>
          </a:r>
          <a:endParaRPr lang="en-US" sz="1200">
            <a:effectLst/>
          </a:endParaRPr>
        </a:p>
        <a:p>
          <a:r>
            <a:rPr lang="en-US" sz="1100">
              <a:solidFill>
                <a:schemeClr val="dk1"/>
              </a:solidFill>
              <a:effectLst/>
              <a:latin typeface="+mn-lt"/>
              <a:ea typeface="+mn-ea"/>
              <a:cs typeface="+mn-cs"/>
            </a:rPr>
            <a:t>1% to 13.3% of OB physicians = 4 Points</a:t>
          </a:r>
          <a:endParaRPr lang="en-US" sz="1200">
            <a:effectLst/>
          </a:endParaRPr>
        </a:p>
        <a:p>
          <a:r>
            <a:rPr lang="en-US" sz="1100">
              <a:solidFill>
                <a:schemeClr val="dk1"/>
              </a:solidFill>
              <a:effectLst/>
              <a:latin typeface="+mn-lt"/>
              <a:ea typeface="+mn-ea"/>
              <a:cs typeface="+mn-cs"/>
            </a:rPr>
            <a:t>Less than 1% of OB physicians = 0 Points</a:t>
          </a:r>
          <a:endParaRPr lang="en-US" sz="1200">
            <a:effectLst/>
          </a:endParaRPr>
        </a:p>
        <a:p>
          <a:pPr lvl="0"/>
          <a:endParaRPr lang="en-US" sz="1200">
            <a:solidFill>
              <a:schemeClr val="dk1"/>
            </a:solidFill>
            <a:effectLst/>
            <a:latin typeface="+mn-lt"/>
            <a:ea typeface="+mn-ea"/>
            <a:cs typeface="+mn-cs"/>
          </a:endParaRPr>
        </a:p>
        <a:p>
          <a:r>
            <a:rPr lang="en-US" sz="1100" b="1">
              <a:solidFill>
                <a:schemeClr val="dk1"/>
              </a:solidFill>
              <a:effectLst/>
              <a:latin typeface="+mn-lt"/>
              <a:ea typeface="+mn-ea"/>
              <a:cs typeface="+mn-cs"/>
            </a:rPr>
            <a:t>Number of Healthy Start Coalitions with which the Respondent has a signed agreement for services at the time of application submission:</a:t>
          </a:r>
          <a:endParaRPr lang="en-US" sz="1200">
            <a:effectLst/>
          </a:endParaRPr>
        </a:p>
        <a:p>
          <a:r>
            <a:rPr lang="en-US" sz="1100">
              <a:solidFill>
                <a:schemeClr val="dk1"/>
              </a:solidFill>
              <a:effectLst/>
              <a:latin typeface="+mn-lt"/>
              <a:ea typeface="+mn-ea"/>
              <a:cs typeface="+mn-cs"/>
            </a:rPr>
            <a:t>Each agreement with a coalition* = 5 Points</a:t>
          </a:r>
          <a:endParaRPr lang="en-US" sz="1200">
            <a:effectLst/>
          </a:endParaRPr>
        </a:p>
        <a:p>
          <a:r>
            <a:rPr lang="en-US" sz="1100" b="1">
              <a:solidFill>
                <a:schemeClr val="dk1"/>
              </a:solidFill>
              <a:effectLst/>
              <a:latin typeface="+mn-lt"/>
              <a:ea typeface="+mn-ea"/>
              <a:cs typeface="+mn-cs"/>
            </a:rPr>
            <a:t> </a:t>
          </a:r>
          <a:endParaRPr lang="en-US" sz="1200">
            <a:effectLst/>
          </a:endParaRPr>
        </a:p>
        <a:p>
          <a:r>
            <a:rPr lang="en-US" sz="1100" b="1">
              <a:solidFill>
                <a:schemeClr val="dk1"/>
              </a:solidFill>
              <a:effectLst/>
              <a:latin typeface="+mn-lt"/>
              <a:ea typeface="+mn-ea"/>
              <a:cs typeface="+mn-cs"/>
            </a:rPr>
            <a:t>*</a:t>
          </a:r>
          <a:r>
            <a:rPr lang="en-US" sz="1100" b="1" i="1" u="sng">
              <a:solidFill>
                <a:schemeClr val="dk1"/>
              </a:solidFill>
              <a:effectLst/>
              <a:latin typeface="+mn-lt"/>
              <a:ea typeface="+mn-ea"/>
              <a:cs typeface="+mn-cs"/>
            </a:rPr>
            <a:t>Note</a:t>
          </a:r>
          <a:r>
            <a:rPr lang="en-US" sz="1100">
              <a:solidFill>
                <a:schemeClr val="dk1"/>
              </a:solidFill>
              <a:effectLst/>
              <a:latin typeface="+mn-lt"/>
              <a:ea typeface="+mn-ea"/>
              <a:cs typeface="+mn-cs"/>
            </a:rPr>
            <a:t>: The Respondent shall submit a copy of each signed agreement as supporting documentation.</a:t>
          </a:r>
          <a:endParaRPr lang="en-US" sz="1200">
            <a:effectLst/>
          </a:endParaRPr>
        </a:p>
        <a:p>
          <a:pPr lvl="0"/>
          <a:endParaRPr lang="en-US" sz="1200">
            <a:solidFill>
              <a:schemeClr val="dk1"/>
            </a:solidFill>
            <a:effectLst/>
            <a:latin typeface="+mn-lt"/>
            <a:ea typeface="+mn-ea"/>
            <a:cs typeface="+mn-cs"/>
          </a:endParaRPr>
        </a:p>
      </xdr:txBody>
    </xdr:sp>
    <xdr:clientData/>
  </xdr:twoCellAnchor>
  <xdr:twoCellAnchor>
    <xdr:from>
      <xdr:col>9</xdr:col>
      <xdr:colOff>85725</xdr:colOff>
      <xdr:row>1</xdr:row>
      <xdr:rowOff>85724</xdr:rowOff>
    </xdr:from>
    <xdr:to>
      <xdr:col>17</xdr:col>
      <xdr:colOff>571500</xdr:colOff>
      <xdr:row>45</xdr:row>
      <xdr:rowOff>123825</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6000750" y="447674"/>
          <a:ext cx="5743575" cy="8401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 of Local Early Step Offices with which the Respondent has a signed agreement for services at the time of application submission:</a:t>
          </a:r>
          <a:endParaRPr lang="en-US">
            <a:effectLst/>
          </a:endParaRPr>
        </a:p>
        <a:p>
          <a:r>
            <a:rPr lang="en-US" sz="1100">
              <a:solidFill>
                <a:schemeClr val="dk1"/>
              </a:solidFill>
              <a:effectLst/>
              <a:latin typeface="+mn-lt"/>
              <a:ea typeface="+mn-ea"/>
              <a:cs typeface="+mn-cs"/>
            </a:rPr>
            <a:t>Each agreement with a local Early Steps office* = 3 Points</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a:t>
          </a:r>
          <a:r>
            <a:rPr lang="en-US" sz="1100" b="1" i="1" u="sng">
              <a:solidFill>
                <a:schemeClr val="dk1"/>
              </a:solidFill>
              <a:effectLst/>
              <a:latin typeface="+mn-lt"/>
              <a:ea typeface="+mn-ea"/>
              <a:cs typeface="+mn-cs"/>
            </a:rPr>
            <a:t>Note</a:t>
          </a:r>
          <a:r>
            <a:rPr lang="en-US" sz="1100">
              <a:solidFill>
                <a:schemeClr val="dk1"/>
              </a:solidFill>
              <a:effectLst/>
              <a:latin typeface="+mn-lt"/>
              <a:ea typeface="+mn-ea"/>
              <a:cs typeface="+mn-cs"/>
            </a:rPr>
            <a:t>: The Respondent shall submit a copy of each signed agreement as supporting documentation.</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Percent of in-network hospitals that are participating in two or more of Florida Perinatal Quality Collaborative’s (FPQC) Quality Initiatives, at the time of application submission, including but not limited to Postpartum Access &amp; Continuity of Care (PACC) Initiative, Perinatal Quality Indicators (PQI), Social Determinants of Health (SDOH) Initiative, or PAIRED Initiative – Family Centered Care in the NICU.</a:t>
          </a:r>
          <a:endParaRPr lang="en-US">
            <a:effectLst/>
          </a:endParaRPr>
        </a:p>
        <a:p>
          <a:r>
            <a:rPr lang="en-US" sz="1100">
              <a:solidFill>
                <a:schemeClr val="dk1"/>
              </a:solidFill>
              <a:effectLst/>
              <a:latin typeface="+mn-lt"/>
              <a:ea typeface="+mn-ea"/>
              <a:cs typeface="+mn-cs"/>
            </a:rPr>
            <a:t>Greater than 75% = 9 Points</a:t>
          </a:r>
          <a:endParaRPr lang="en-US">
            <a:effectLst/>
          </a:endParaRPr>
        </a:p>
        <a:p>
          <a:r>
            <a:rPr lang="en-US" sz="1100">
              <a:solidFill>
                <a:schemeClr val="dk1"/>
              </a:solidFill>
              <a:effectLst/>
              <a:latin typeface="+mn-lt"/>
              <a:ea typeface="+mn-ea"/>
              <a:cs typeface="+mn-cs"/>
            </a:rPr>
            <a:t>50% to 75% = 6 Points</a:t>
          </a:r>
          <a:endParaRPr lang="en-US">
            <a:effectLst/>
          </a:endParaRPr>
        </a:p>
        <a:p>
          <a:r>
            <a:rPr lang="en-US" sz="1100">
              <a:solidFill>
                <a:schemeClr val="dk1"/>
              </a:solidFill>
              <a:effectLst/>
              <a:latin typeface="+mn-lt"/>
              <a:ea typeface="+mn-ea"/>
              <a:cs typeface="+mn-cs"/>
            </a:rPr>
            <a:t>25% to 49.99% = 3 Points</a:t>
          </a:r>
          <a:endParaRPr lang="en-US">
            <a:effectLst/>
          </a:endParaRPr>
        </a:p>
        <a:p>
          <a:r>
            <a:rPr lang="en-US" sz="1100">
              <a:solidFill>
                <a:schemeClr val="dk1"/>
              </a:solidFill>
              <a:effectLst/>
              <a:latin typeface="+mn-lt"/>
              <a:ea typeface="+mn-ea"/>
              <a:cs typeface="+mn-cs"/>
            </a:rPr>
            <a:t>Less than 25% = 0 Points</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Percent of OB physicians in network who submitted at least one Medicaid claim for SBIRT (H0049 or H0050) in CY2022</a:t>
          </a:r>
          <a:r>
            <a:rPr lang="en-US" sz="1100">
              <a:solidFill>
                <a:schemeClr val="dk1"/>
              </a:solidFill>
              <a:effectLst/>
              <a:latin typeface="+mn-lt"/>
              <a:ea typeface="+mn-ea"/>
              <a:cs typeface="+mn-cs"/>
            </a:rPr>
            <a:t>.</a:t>
          </a:r>
          <a:endParaRPr lang="en-US">
            <a:effectLst/>
          </a:endParaRPr>
        </a:p>
        <a:p>
          <a:r>
            <a:rPr lang="en-US" sz="1100">
              <a:solidFill>
                <a:schemeClr val="dk1"/>
              </a:solidFill>
              <a:effectLst/>
              <a:latin typeface="+mn-lt"/>
              <a:ea typeface="+mn-ea"/>
              <a:cs typeface="+mn-cs"/>
            </a:rPr>
            <a:t>Greater than 5% of OB physicians = 7 Points</a:t>
          </a:r>
          <a:endParaRPr lang="en-US">
            <a:effectLst/>
          </a:endParaRPr>
        </a:p>
        <a:p>
          <a:r>
            <a:rPr lang="en-US" sz="1100">
              <a:solidFill>
                <a:schemeClr val="dk1"/>
              </a:solidFill>
              <a:effectLst/>
              <a:latin typeface="+mn-lt"/>
              <a:ea typeface="+mn-ea"/>
              <a:cs typeface="+mn-cs"/>
            </a:rPr>
            <a:t>1% to 5% of OB physicians = 4 Points</a:t>
          </a:r>
          <a:endParaRPr lang="en-US">
            <a:effectLst/>
          </a:endParaRPr>
        </a:p>
        <a:p>
          <a:r>
            <a:rPr lang="en-US" sz="1100">
              <a:solidFill>
                <a:schemeClr val="dk1"/>
              </a:solidFill>
              <a:effectLst/>
              <a:latin typeface="+mn-lt"/>
              <a:ea typeface="+mn-ea"/>
              <a:cs typeface="+mn-cs"/>
            </a:rPr>
            <a:t>Less than 1% of OB physicians = 0 Points</a:t>
          </a:r>
        </a:p>
        <a:p>
          <a:endParaRPr lang="en-US">
            <a:effectLst/>
          </a:endParaRPr>
        </a:p>
        <a:p>
          <a:r>
            <a:rPr lang="en-US" sz="1100" b="1">
              <a:solidFill>
                <a:schemeClr val="dk1"/>
              </a:solidFill>
              <a:effectLst/>
              <a:latin typeface="+mn-lt"/>
              <a:ea typeface="+mn-ea"/>
              <a:cs typeface="+mn-cs"/>
            </a:rPr>
            <a:t>Percent of OB physicians in network who had a value-based purchasing agreement with any Medicaid managed care plan in CY2022.</a:t>
          </a:r>
          <a:endParaRPr lang="en-US">
            <a:effectLst/>
          </a:endParaRPr>
        </a:p>
        <a:p>
          <a:r>
            <a:rPr lang="en-US" sz="1100">
              <a:solidFill>
                <a:schemeClr val="dk1"/>
              </a:solidFill>
              <a:effectLst/>
              <a:latin typeface="+mn-lt"/>
              <a:ea typeface="+mn-ea"/>
              <a:cs typeface="+mn-cs"/>
            </a:rPr>
            <a:t>Greater than 50% of OB physicians = 9 Points</a:t>
          </a:r>
          <a:endParaRPr lang="en-US">
            <a:effectLst/>
          </a:endParaRPr>
        </a:p>
        <a:p>
          <a:r>
            <a:rPr lang="en-US" sz="1100">
              <a:solidFill>
                <a:schemeClr val="dk1"/>
              </a:solidFill>
              <a:effectLst/>
              <a:latin typeface="+mn-lt"/>
              <a:ea typeface="+mn-ea"/>
              <a:cs typeface="+mn-cs"/>
            </a:rPr>
            <a:t>25% to 50% of OB physicians = 6 Points</a:t>
          </a:r>
          <a:endParaRPr lang="en-US">
            <a:effectLst/>
          </a:endParaRPr>
        </a:p>
        <a:p>
          <a:r>
            <a:rPr lang="en-US" sz="1100">
              <a:solidFill>
                <a:schemeClr val="dk1"/>
              </a:solidFill>
              <a:effectLst/>
              <a:latin typeface="+mn-lt"/>
              <a:ea typeface="+mn-ea"/>
              <a:cs typeface="+mn-cs"/>
            </a:rPr>
            <a:t>1% to 24.99% of OB physicians = 3 Points</a:t>
          </a:r>
          <a:endParaRPr lang="en-US">
            <a:effectLst/>
          </a:endParaRPr>
        </a:p>
        <a:p>
          <a:r>
            <a:rPr lang="en-US" sz="1100">
              <a:solidFill>
                <a:schemeClr val="dk1"/>
              </a:solidFill>
              <a:effectLst/>
              <a:latin typeface="+mn-lt"/>
              <a:ea typeface="+mn-ea"/>
              <a:cs typeface="+mn-cs"/>
            </a:rPr>
            <a:t>Less than 1% of OB physicians = 0 Points</a:t>
          </a:r>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Average percent of pregnant people in CY2022 receiving at least two in-person visits by a doula.</a:t>
          </a:r>
          <a:endParaRPr lang="en-US">
            <a:effectLst/>
          </a:endParaRPr>
        </a:p>
        <a:p>
          <a:r>
            <a:rPr lang="en-US" sz="1100">
              <a:solidFill>
                <a:schemeClr val="dk1"/>
              </a:solidFill>
              <a:effectLst/>
              <a:latin typeface="+mn-lt"/>
              <a:ea typeface="+mn-ea"/>
              <a:cs typeface="+mn-cs"/>
            </a:rPr>
            <a:t>Greater than 50% = 3 Points per Contract</a:t>
          </a:r>
          <a:endParaRPr lang="en-US">
            <a:effectLst/>
          </a:endParaRPr>
        </a:p>
        <a:p>
          <a:r>
            <a:rPr lang="en-US" sz="1100">
              <a:solidFill>
                <a:schemeClr val="dk1"/>
              </a:solidFill>
              <a:effectLst/>
              <a:latin typeface="+mn-lt"/>
              <a:ea typeface="+mn-ea"/>
              <a:cs typeface="+mn-cs"/>
            </a:rPr>
            <a:t>25% to 50% = 2 Points per Contract</a:t>
          </a:r>
          <a:endParaRPr lang="en-US">
            <a:effectLst/>
          </a:endParaRPr>
        </a:p>
        <a:p>
          <a:r>
            <a:rPr lang="en-US" sz="1100">
              <a:solidFill>
                <a:schemeClr val="dk1"/>
              </a:solidFill>
              <a:effectLst/>
              <a:latin typeface="+mn-lt"/>
              <a:ea typeface="+mn-ea"/>
              <a:cs typeface="+mn-cs"/>
            </a:rPr>
            <a:t>5% to 24.99% = 1 Points per Contract</a:t>
          </a:r>
          <a:endParaRPr lang="en-US">
            <a:effectLst/>
          </a:endParaRPr>
        </a:p>
        <a:p>
          <a:r>
            <a:rPr lang="en-US" sz="1100">
              <a:solidFill>
                <a:schemeClr val="dk1"/>
              </a:solidFill>
              <a:effectLst/>
              <a:latin typeface="+mn-lt"/>
              <a:ea typeface="+mn-ea"/>
              <a:cs typeface="+mn-cs"/>
            </a:rPr>
            <a:t>Less than 5% = 0 Points per Contract</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Average percent of pregnant people in CY2022 receiving at least one in-person visit by a midwife.</a:t>
          </a:r>
          <a:endParaRPr lang="en-US">
            <a:effectLst/>
          </a:endParaRPr>
        </a:p>
        <a:p>
          <a:r>
            <a:rPr lang="en-US" sz="1100">
              <a:solidFill>
                <a:schemeClr val="dk1"/>
              </a:solidFill>
              <a:effectLst/>
              <a:latin typeface="+mn-lt"/>
              <a:ea typeface="+mn-ea"/>
              <a:cs typeface="+mn-cs"/>
            </a:rPr>
            <a:t>Greater than 25% = 3 Points per Contract</a:t>
          </a:r>
          <a:endParaRPr lang="en-US">
            <a:effectLst/>
          </a:endParaRPr>
        </a:p>
        <a:p>
          <a:r>
            <a:rPr lang="en-US" sz="1100">
              <a:solidFill>
                <a:schemeClr val="dk1"/>
              </a:solidFill>
              <a:effectLst/>
              <a:latin typeface="+mn-lt"/>
              <a:ea typeface="+mn-ea"/>
              <a:cs typeface="+mn-cs"/>
            </a:rPr>
            <a:t>10% to 25% = 2 Points per Contract</a:t>
          </a:r>
          <a:endParaRPr lang="en-US">
            <a:effectLst/>
          </a:endParaRPr>
        </a:p>
        <a:p>
          <a:r>
            <a:rPr lang="en-US" sz="1100">
              <a:solidFill>
                <a:schemeClr val="dk1"/>
              </a:solidFill>
              <a:effectLst/>
              <a:latin typeface="+mn-lt"/>
              <a:ea typeface="+mn-ea"/>
              <a:cs typeface="+mn-cs"/>
            </a:rPr>
            <a:t>5% to 9.99% = 1 Points per Contract</a:t>
          </a:r>
          <a:endParaRPr lang="en-US">
            <a:effectLst/>
          </a:endParaRPr>
        </a:p>
        <a:p>
          <a:r>
            <a:rPr lang="en-US" sz="1100">
              <a:solidFill>
                <a:schemeClr val="dk1"/>
              </a:solidFill>
              <a:effectLst/>
              <a:latin typeface="+mn-lt"/>
              <a:ea typeface="+mn-ea"/>
              <a:cs typeface="+mn-cs"/>
            </a:rPr>
            <a:t>Less than 5% = 0 Points per Contract</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The total number of points is the sum of all individual points earned.</a:t>
          </a:r>
          <a:endParaRPr lang="en-US">
            <a:effectLst/>
          </a:endParaRPr>
        </a:p>
        <a:p>
          <a:r>
            <a:rPr lang="en-US" sz="1100" b="1">
              <a:solidFill>
                <a:schemeClr val="dk1"/>
              </a:solidFill>
              <a:effectLst/>
              <a:latin typeface="+mn-lt"/>
              <a:ea typeface="+mn-ea"/>
              <a:cs typeface="+mn-cs"/>
            </a:rPr>
            <a:t>The total earned points possible is 300.</a:t>
          </a:r>
          <a:endParaRPr lang="en-US">
            <a:effectLst/>
          </a:endParaRPr>
        </a:p>
        <a:p>
          <a:r>
            <a:rPr lang="en-US" sz="1100" b="1">
              <a:solidFill>
                <a:schemeClr val="dk1"/>
              </a:solidFill>
              <a:effectLst/>
              <a:latin typeface="+mn-lt"/>
              <a:ea typeface="+mn-ea"/>
              <a:cs typeface="+mn-cs"/>
            </a:rPr>
            <a:t>The maximum Final Score possible is 300.</a:t>
          </a:r>
          <a:r>
            <a:rPr lang="en-US" sz="1100">
              <a:solidFill>
                <a:schemeClr val="dk1"/>
              </a:solidFill>
              <a:effectLst/>
              <a:latin typeface="+mn-lt"/>
              <a:ea typeface="+mn-ea"/>
              <a:cs typeface="+mn-cs"/>
            </a:rPr>
            <a:t> </a:t>
          </a:r>
          <a:endParaRPr lang="en-US">
            <a:effectLst/>
          </a:endParaRPr>
        </a:p>
        <a:p>
          <a:endParaRPr lang="en-US"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76201</xdr:colOff>
      <xdr:row>3</xdr:row>
      <xdr:rowOff>184148</xdr:rowOff>
    </xdr:from>
    <xdr:to>
      <xdr:col>8</xdr:col>
      <xdr:colOff>590551</xdr:colOff>
      <xdr:row>43</xdr:row>
      <xdr:rowOff>139700</xdr:rowOff>
    </xdr:to>
    <xdr:sp macro="" textlink="">
      <xdr:nvSpPr>
        <xdr:cNvPr id="3" name="TextBox 1">
          <a:extLst>
            <a:ext uri="{FF2B5EF4-FFF2-40B4-BE49-F238E27FC236}">
              <a16:creationId xmlns:a16="http://schemas.microsoft.com/office/drawing/2014/main" id="{00000000-0008-0000-0900-000003000000}"/>
            </a:ext>
          </a:extLst>
        </xdr:cNvPr>
        <xdr:cNvSpPr txBox="1"/>
      </xdr:nvSpPr>
      <xdr:spPr>
        <a:xfrm>
          <a:off x="76201" y="1015998"/>
          <a:ext cx="5422900" cy="73215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Scoring will be designated based upon the following criteria:</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Each chronic disease management program for cancer, depression, diabetes, or HIV/AIDS</a:t>
          </a:r>
          <a:r>
            <a:rPr lang="en-US" sz="1100">
              <a:solidFill>
                <a:schemeClr val="dk1"/>
              </a:solidFill>
              <a:effectLst/>
              <a:latin typeface="+mn-lt"/>
              <a:ea typeface="+mn-ea"/>
              <a:cs typeface="+mn-cs"/>
            </a:rPr>
            <a:t> = 2 Points </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Each of the remaining chronic disease programs implemented per contract</a:t>
          </a:r>
          <a:r>
            <a:rPr lang="en-US" sz="1100">
              <a:solidFill>
                <a:schemeClr val="dk1"/>
              </a:solidFill>
              <a:effectLst/>
              <a:latin typeface="+mn-lt"/>
              <a:ea typeface="+mn-ea"/>
              <a:cs typeface="+mn-cs"/>
            </a:rPr>
            <a:t> = 1 Point </a:t>
          </a:r>
        </a:p>
        <a:p>
          <a:pPr lvl="0"/>
          <a:r>
            <a:rPr lang="en-US" sz="1100">
              <a:solidFill>
                <a:schemeClr val="dk1"/>
              </a:solidFill>
              <a:effectLst/>
              <a:latin typeface="+mn-lt"/>
              <a:ea typeface="+mn-ea"/>
              <a:cs typeface="+mn-cs"/>
            </a:rPr>
            <a:t>(Anxiety Disorders, Asthma, Attention Deficit Hyperactivity Disorder,</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Bipolar Disorder,</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Cardiovascular Disease, Chronic Kidney Disease, Chronic Obstructive Pulmonary Disease, Dementia, End State Renal Disease, Hypertension, Osteoporosis, Parkinson’s Disease, Sickle Cell Disease, Substance Abuse Disorder)</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Percent of enrollees with cancer who participated in a chronic disease management program for cancer:</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greater than 50% = 5 Points</a:t>
          </a:r>
        </a:p>
        <a:p>
          <a:r>
            <a:rPr lang="en-US" sz="1100">
              <a:solidFill>
                <a:schemeClr val="dk1"/>
              </a:solidFill>
              <a:effectLst/>
              <a:latin typeface="+mn-lt"/>
              <a:ea typeface="+mn-ea"/>
              <a:cs typeface="+mn-cs"/>
            </a:rPr>
            <a:t>25-50% = 3 Points</a:t>
          </a:r>
        </a:p>
        <a:p>
          <a:r>
            <a:rPr lang="en-US" sz="1100">
              <a:solidFill>
                <a:schemeClr val="dk1"/>
              </a:solidFill>
              <a:effectLst/>
              <a:latin typeface="+mn-lt"/>
              <a:ea typeface="+mn-ea"/>
              <a:cs typeface="+mn-cs"/>
            </a:rPr>
            <a:t>1-24% = 1 Point</a:t>
          </a:r>
        </a:p>
        <a:p>
          <a:r>
            <a:rPr lang="en-US" sz="1100">
              <a:solidFill>
                <a:schemeClr val="dk1"/>
              </a:solidFill>
              <a:effectLst/>
              <a:latin typeface="+mn-lt"/>
              <a:ea typeface="+mn-ea"/>
              <a:cs typeface="+mn-cs"/>
            </a:rPr>
            <a:t>If less than 1%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Percent of enrollees with diabetes (type 1 and type 2) who participated in a chronic disease management program for diabetes: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greater than 50% = 5 Points</a:t>
          </a:r>
        </a:p>
        <a:p>
          <a:r>
            <a:rPr lang="en-US" sz="1100">
              <a:solidFill>
                <a:schemeClr val="dk1"/>
              </a:solidFill>
              <a:effectLst/>
              <a:latin typeface="+mn-lt"/>
              <a:ea typeface="+mn-ea"/>
              <a:cs typeface="+mn-cs"/>
            </a:rPr>
            <a:t>25-50% = 3 Points</a:t>
          </a:r>
        </a:p>
        <a:p>
          <a:r>
            <a:rPr lang="en-US" sz="1100">
              <a:solidFill>
                <a:schemeClr val="dk1"/>
              </a:solidFill>
              <a:effectLst/>
              <a:latin typeface="+mn-lt"/>
              <a:ea typeface="+mn-ea"/>
              <a:cs typeface="+mn-cs"/>
            </a:rPr>
            <a:t>1-24% = 1 Point</a:t>
          </a:r>
        </a:p>
        <a:p>
          <a:r>
            <a:rPr lang="en-US" sz="1100">
              <a:solidFill>
                <a:schemeClr val="dk1"/>
              </a:solidFill>
              <a:effectLst/>
              <a:latin typeface="+mn-lt"/>
              <a:ea typeface="+mn-ea"/>
              <a:cs typeface="+mn-cs"/>
            </a:rPr>
            <a:t>If less than 1%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Weighting will be applied to point totals for each contract based on the contract line of business: </a:t>
          </a:r>
          <a:endParaRPr lang="en-US" sz="1100">
            <a:solidFill>
              <a:schemeClr val="dk1"/>
            </a:solidFill>
            <a:effectLst/>
            <a:latin typeface="+mn-lt"/>
            <a:ea typeface="+mn-ea"/>
            <a:cs typeface="+mn-cs"/>
          </a:endParaRPr>
        </a:p>
        <a:p>
          <a:pPr lvl="0"/>
          <a:r>
            <a:rPr lang="en-US" sz="800">
              <a:solidFill>
                <a:schemeClr val="dk1"/>
              </a:solidFill>
              <a:effectLst/>
              <a:latin typeface="+mn-lt"/>
              <a:ea typeface="+mn-ea"/>
              <a:cs typeface="+mn-cs"/>
              <a:sym typeface="Wingdings" panose="05000000000000000000" pitchFamily="2" charset="2"/>
            </a:rPr>
            <a:t> </a:t>
          </a:r>
          <a:r>
            <a:rPr lang="en-US" sz="1100">
              <a:solidFill>
                <a:schemeClr val="dk1"/>
              </a:solidFill>
              <a:effectLst/>
              <a:latin typeface="+mn-lt"/>
              <a:ea typeface="+mn-ea"/>
              <a:cs typeface="+mn-cs"/>
            </a:rPr>
            <a:t>Medicaid Contract chronic disease management program points will be 100% of the points received.</a:t>
          </a:r>
        </a:p>
        <a:p>
          <a:pPr lvl="0"/>
          <a:r>
            <a:rPr lang="en-US" sz="800">
              <a:solidFill>
                <a:schemeClr val="dk1"/>
              </a:solidFill>
              <a:effectLst/>
              <a:latin typeface="+mn-lt"/>
              <a:ea typeface="+mn-ea"/>
              <a:cs typeface="+mn-cs"/>
              <a:sym typeface="Wingdings" panose="05000000000000000000" pitchFamily="2" charset="2"/>
            </a:rPr>
            <a:t> </a:t>
          </a:r>
          <a:r>
            <a:rPr lang="en-US" sz="1100">
              <a:solidFill>
                <a:schemeClr val="dk1"/>
              </a:solidFill>
              <a:effectLst/>
              <a:latin typeface="+mn-lt"/>
              <a:ea typeface="+mn-ea"/>
              <a:cs typeface="+mn-cs"/>
            </a:rPr>
            <a:t>CHIP Contract chronic disease management program points will be 90% of the points received. </a:t>
          </a:r>
        </a:p>
        <a:p>
          <a:pPr lvl="0"/>
          <a:r>
            <a:rPr lang="en-US" sz="800">
              <a:solidFill>
                <a:schemeClr val="dk1"/>
              </a:solidFill>
              <a:effectLst/>
              <a:latin typeface="+mn-lt"/>
              <a:ea typeface="+mn-ea"/>
              <a:cs typeface="+mn-cs"/>
              <a:sym typeface="Wingdings" panose="05000000000000000000" pitchFamily="2" charset="2"/>
            </a:rPr>
            <a:t> </a:t>
          </a:r>
          <a:r>
            <a:rPr lang="en-US" sz="1100">
              <a:solidFill>
                <a:schemeClr val="dk1"/>
              </a:solidFill>
              <a:effectLst/>
              <a:latin typeface="+mn-lt"/>
              <a:ea typeface="+mn-ea"/>
              <a:cs typeface="+mn-cs"/>
            </a:rPr>
            <a:t>Medicare Contract chronic disease management program points will be 80% of the points received.</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The total number of points is the sum of all individual weighted points earned for all three contracts.</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 total earned points possible is 96.</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 maximum Final Score Possible is 250.</a:t>
          </a:r>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The Final Score is calculated by multiplying the percentage of total points earned out of total points possible by the maximum Final Score Possible.</a:t>
          </a:r>
          <a:endParaRPr lang="en-US" sz="1100">
            <a:solidFill>
              <a:schemeClr val="dk1"/>
            </a:solidFill>
            <a:effectLst/>
            <a:latin typeface="+mn-lt"/>
            <a:ea typeface="+mn-ea"/>
            <a:cs typeface="+mn-cs"/>
          </a:endParaRPr>
        </a:p>
        <a:p>
          <a:br>
            <a:rPr lang="en-US" sz="1100">
              <a:solidFill>
                <a:schemeClr val="dk1"/>
              </a:solidFill>
              <a:effectLst/>
              <a:latin typeface="+mn-lt"/>
              <a:ea typeface="+mn-ea"/>
              <a:cs typeface="+mn-cs"/>
            </a:rPr>
          </a:br>
          <a:r>
            <a:rPr lang="en-US" sz="1100">
              <a:solidFill>
                <a:schemeClr val="dk1"/>
              </a:solidFill>
              <a:effectLst/>
              <a:latin typeface="+mn-lt"/>
              <a:ea typeface="+mn-ea"/>
              <a:cs typeface="+mn-cs"/>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57151</xdr:colOff>
      <xdr:row>4</xdr:row>
      <xdr:rowOff>28575</xdr:rowOff>
    </xdr:from>
    <xdr:to>
      <xdr:col>3</xdr:col>
      <xdr:colOff>438150</xdr:colOff>
      <xdr:row>25</xdr:row>
      <xdr:rowOff>114300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57151" y="895350"/>
          <a:ext cx="5381624" cy="4200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Scoring will be designated based upon the following criteria:</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There are:</a:t>
          </a:r>
        </a:p>
        <a:p>
          <a:pPr lvl="0"/>
          <a:r>
            <a:rPr lang="en-US" sz="1100">
              <a:solidFill>
                <a:schemeClr val="dk1"/>
              </a:solidFill>
              <a:effectLst/>
              <a:latin typeface="+mn-lt"/>
              <a:ea typeface="+mn-ea"/>
              <a:cs typeface="+mn-cs"/>
            </a:rPr>
            <a:t>• One hundred twenty-nine (129) opportunities for a respondent to report prior experience in meeting quality standards for </a:t>
          </a:r>
          <a:r>
            <a:rPr lang="en-US" sz="1100" u="sng">
              <a:solidFill>
                <a:schemeClr val="dk1"/>
              </a:solidFill>
              <a:effectLst/>
              <a:latin typeface="+mn-lt"/>
              <a:ea typeface="+mn-ea"/>
              <a:cs typeface="+mn-cs"/>
            </a:rPr>
            <a:t>HEDIS Health Plan measures:</a:t>
          </a:r>
          <a:endParaRPr lang="en-US" sz="1100">
            <a:solidFill>
              <a:schemeClr val="dk1"/>
            </a:solidFill>
            <a:effectLst/>
            <a:latin typeface="+mn-lt"/>
            <a:ea typeface="+mn-ea"/>
            <a:cs typeface="+mn-cs"/>
          </a:endParaRPr>
        </a:p>
        <a:p>
          <a:pPr lvl="1"/>
          <a:r>
            <a:rPr lang="en-US" sz="1100">
              <a:solidFill>
                <a:schemeClr val="dk1"/>
              </a:solidFill>
              <a:effectLst/>
              <a:latin typeface="+mn-lt"/>
              <a:ea typeface="+mn-ea"/>
              <a:cs typeface="+mn-cs"/>
            </a:rPr>
            <a:t>For eleven (11) measure rates, three (3) states each, three (3) years each.</a:t>
          </a:r>
        </a:p>
        <a:p>
          <a:pPr lvl="1"/>
          <a:r>
            <a:rPr lang="en-US" sz="1100">
              <a:solidFill>
                <a:schemeClr val="dk1"/>
              </a:solidFill>
              <a:effectLst/>
              <a:latin typeface="+mn-lt"/>
              <a:ea typeface="+mn-ea"/>
              <a:cs typeface="+mn-cs"/>
            </a:rPr>
            <a:t>For five (5) measure rates, three (3) states each, two (2) years each).  </a:t>
          </a:r>
        </a:p>
        <a:p>
          <a:pPr lvl="0"/>
          <a:r>
            <a:rPr lang="en-US" sz="1100">
              <a:solidFill>
                <a:schemeClr val="dk1"/>
              </a:solidFill>
              <a:effectLst/>
              <a:latin typeface="+mn-lt"/>
              <a:ea typeface="+mn-ea"/>
              <a:cs typeface="+mn-cs"/>
            </a:rPr>
            <a:t>• Thirty-six (36) opportunities for a respondent to report prior experience in meeting quality standards for </a:t>
          </a:r>
          <a:r>
            <a:rPr lang="en-US" sz="1100" u="sng">
              <a:solidFill>
                <a:schemeClr val="dk1"/>
              </a:solidFill>
              <a:effectLst/>
              <a:latin typeface="+mn-lt"/>
              <a:ea typeface="+mn-ea"/>
              <a:cs typeface="+mn-cs"/>
            </a:rPr>
            <a:t>LTSS HEDIS measures</a:t>
          </a:r>
          <a:r>
            <a:rPr lang="en-US" sz="1100">
              <a:solidFill>
                <a:schemeClr val="dk1"/>
              </a:solidFill>
              <a:effectLst/>
              <a:latin typeface="+mn-lt"/>
              <a:ea typeface="+mn-ea"/>
              <a:cs typeface="+mn-cs"/>
            </a:rPr>
            <a:t> (four (4) measure rates, three (3) states each, three (3) years each).</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For the measure rates with three (3) years of reporting, a total of ten (10) points is available per state reported. For the measure rates with two (2) years of reporting, a total of six (6) points is available per state reported. The respondent will be awarded:</a:t>
          </a:r>
        </a:p>
        <a:p>
          <a:pPr lvl="0"/>
          <a:r>
            <a:rPr lang="en-US" sz="1100">
              <a:solidFill>
                <a:schemeClr val="dk1"/>
              </a:solidFill>
              <a:effectLst/>
              <a:latin typeface="+mn-lt"/>
              <a:ea typeface="+mn-ea"/>
              <a:cs typeface="+mn-cs"/>
            </a:rPr>
            <a:t>• 2 points if their reported plan rate exceeded the national Medicaid mean (HEDIS) or Florida Medicaid statewide mean* (LTSS HEDIS), for each available year, for each available state.  </a:t>
          </a:r>
        </a:p>
        <a:p>
          <a:pPr lvl="0"/>
          <a:r>
            <a:rPr lang="en-US" sz="1100">
              <a:solidFill>
                <a:schemeClr val="dk1"/>
              </a:solidFill>
              <a:effectLst/>
              <a:latin typeface="+mn-lt"/>
              <a:ea typeface="+mn-ea"/>
              <a:cs typeface="+mn-cs"/>
            </a:rPr>
            <a:t>• An additional 2 points for each measure rate where the second year’s rate is an improvement over the first year’s rate.</a:t>
          </a:r>
        </a:p>
        <a:p>
          <a:pPr lvl="0"/>
          <a:r>
            <a:rPr lang="en-US" sz="1100">
              <a:solidFill>
                <a:schemeClr val="dk1"/>
              </a:solidFill>
              <a:effectLst/>
              <a:latin typeface="+mn-lt"/>
              <a:ea typeface="+mn-ea"/>
              <a:cs typeface="+mn-cs"/>
            </a:rPr>
            <a:t>• An additional 2 points for each measure rate where the third year’s rate is an improvement over the second year’s rate, for each available state.</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a:t>
          </a:r>
          <a:r>
            <a:rPr lang="en-US" sz="1100" b="1" i="1" u="sng">
              <a:solidFill>
                <a:schemeClr val="dk1"/>
              </a:solidFill>
              <a:effectLst/>
              <a:latin typeface="+mn-lt"/>
              <a:ea typeface="+mn-ea"/>
              <a:cs typeface="+mn-cs"/>
            </a:rPr>
            <a:t>Note</a:t>
          </a:r>
          <a:r>
            <a:rPr lang="en-US" sz="1100">
              <a:solidFill>
                <a:schemeClr val="dk1"/>
              </a:solidFill>
              <a:effectLst/>
              <a:latin typeface="+mn-lt"/>
              <a:ea typeface="+mn-ea"/>
              <a:cs typeface="+mn-cs"/>
            </a:rPr>
            <a:t>: For the LTSS HEDIS measure rates, the Florida Medicaid statewide weighted means in the table below will be used for each measure for each year. </a:t>
          </a:r>
        </a:p>
        <a:p>
          <a:r>
            <a:rPr lang="en-US" sz="1100">
              <a:solidFill>
                <a:schemeClr val="dk1"/>
              </a:solidFill>
              <a:effectLst/>
              <a:latin typeface="+mn-lt"/>
              <a:ea typeface="+mn-ea"/>
              <a:cs typeface="+mn-cs"/>
            </a:rPr>
            <a:t> </a:t>
          </a:r>
        </a:p>
      </xdr:txBody>
    </xdr:sp>
    <xdr:clientData/>
  </xdr:twoCellAnchor>
  <xdr:twoCellAnchor>
    <xdr:from>
      <xdr:col>0</xdr:col>
      <xdr:colOff>57149</xdr:colOff>
      <xdr:row>31</xdr:row>
      <xdr:rowOff>76201</xdr:rowOff>
    </xdr:from>
    <xdr:to>
      <xdr:col>3</xdr:col>
      <xdr:colOff>438149</xdr:colOff>
      <xdr:row>43</xdr:row>
      <xdr:rowOff>104775</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57149" y="6391276"/>
          <a:ext cx="5381625" cy="2314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dk1"/>
              </a:solidFill>
              <a:effectLst/>
              <a:latin typeface="+mn-lt"/>
              <a:ea typeface="+mn-ea"/>
              <a:cs typeface="+mn-cs"/>
            </a:rPr>
            <a:t>HEDIS Measures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For Each of the 16 HEDIS Measures:</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2019 (excluding five (5) measures with no reporting in 2019)</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Exceeds National Medicaid Mean = 2 Points</a:t>
          </a:r>
        </a:p>
        <a:p>
          <a:r>
            <a:rPr lang="en-US" sz="1100">
              <a:solidFill>
                <a:schemeClr val="dk1"/>
              </a:solidFill>
              <a:effectLst/>
              <a:latin typeface="+mn-lt"/>
              <a:ea typeface="+mn-ea"/>
              <a:cs typeface="+mn-cs"/>
            </a:rPr>
            <a:t>Does Not Exceed National Medicaid Mean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2020</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Exceeds National Medicaid Mean and increased from 2019 = 4 Points</a:t>
          </a:r>
        </a:p>
        <a:p>
          <a:r>
            <a:rPr lang="en-US" sz="1100">
              <a:solidFill>
                <a:schemeClr val="dk1"/>
              </a:solidFill>
              <a:effectLst/>
              <a:latin typeface="+mn-lt"/>
              <a:ea typeface="+mn-ea"/>
              <a:cs typeface="+mn-cs"/>
            </a:rPr>
            <a:t>Exceeds National Medicaid Mean, but did not increase from 2019 = 2 Points</a:t>
          </a:r>
        </a:p>
        <a:p>
          <a:r>
            <a:rPr lang="en-US" sz="1100">
              <a:solidFill>
                <a:schemeClr val="dk1"/>
              </a:solidFill>
              <a:effectLst/>
              <a:latin typeface="+mn-lt"/>
              <a:ea typeface="+mn-ea"/>
              <a:cs typeface="+mn-cs"/>
            </a:rPr>
            <a:t>Does Not Exceed National Medicaid Mean, but increased from 2019 = 2 Points</a:t>
          </a:r>
        </a:p>
        <a:p>
          <a:r>
            <a:rPr lang="en-US" sz="1100">
              <a:solidFill>
                <a:schemeClr val="dk1"/>
              </a:solidFill>
              <a:effectLst/>
              <a:latin typeface="+mn-lt"/>
              <a:ea typeface="+mn-ea"/>
              <a:cs typeface="+mn-cs"/>
            </a:rPr>
            <a:t>Does Not Exceed National Medicaid Mean and did not increase from 2019 = 0 Points</a:t>
          </a:r>
        </a:p>
      </xdr:txBody>
    </xdr:sp>
    <xdr:clientData/>
  </xdr:twoCellAnchor>
  <xdr:twoCellAnchor>
    <xdr:from>
      <xdr:col>4</xdr:col>
      <xdr:colOff>57150</xdr:colOff>
      <xdr:row>1</xdr:row>
      <xdr:rowOff>66675</xdr:rowOff>
    </xdr:from>
    <xdr:to>
      <xdr:col>12</xdr:col>
      <xdr:colOff>523875</xdr:colOff>
      <xdr:row>43</xdr:row>
      <xdr:rowOff>114300</xdr:rowOff>
    </xdr:to>
    <xdr:sp macro="" textlink="">
      <xdr:nvSpPr>
        <xdr:cNvPr id="7" name="TextBox 3">
          <a:extLst>
            <a:ext uri="{FF2B5EF4-FFF2-40B4-BE49-F238E27FC236}">
              <a16:creationId xmlns:a16="http://schemas.microsoft.com/office/drawing/2014/main" id="{00000000-0008-0000-0B00-000007000000}"/>
            </a:ext>
          </a:extLst>
        </xdr:cNvPr>
        <xdr:cNvSpPr txBox="1"/>
      </xdr:nvSpPr>
      <xdr:spPr>
        <a:xfrm>
          <a:off x="5553075" y="361950"/>
          <a:ext cx="5343525" cy="835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2021</a:t>
          </a:r>
          <a:endParaRPr lang="en-US">
            <a:effectLst/>
          </a:endParaRPr>
        </a:p>
        <a:p>
          <a:r>
            <a:rPr lang="en-US" sz="1100">
              <a:solidFill>
                <a:schemeClr val="dk1"/>
              </a:solidFill>
              <a:effectLst/>
              <a:latin typeface="+mn-lt"/>
              <a:ea typeface="+mn-ea"/>
              <a:cs typeface="+mn-cs"/>
            </a:rPr>
            <a:t>Exceeds National Medicaid Mean and increased from 2020 = 4 Points</a:t>
          </a:r>
          <a:endParaRPr lang="en-US">
            <a:effectLst/>
          </a:endParaRPr>
        </a:p>
        <a:p>
          <a:r>
            <a:rPr lang="en-US" sz="1100">
              <a:solidFill>
                <a:schemeClr val="dk1"/>
              </a:solidFill>
              <a:effectLst/>
              <a:latin typeface="+mn-lt"/>
              <a:ea typeface="+mn-ea"/>
              <a:cs typeface="+mn-cs"/>
            </a:rPr>
            <a:t>Exceeds National Medicaid Mean, but did not increase from 2020 = 2 Points</a:t>
          </a:r>
          <a:endParaRPr lang="en-US">
            <a:effectLst/>
          </a:endParaRPr>
        </a:p>
        <a:p>
          <a:r>
            <a:rPr lang="en-US" sz="1100">
              <a:solidFill>
                <a:schemeClr val="dk1"/>
              </a:solidFill>
              <a:effectLst/>
              <a:latin typeface="+mn-lt"/>
              <a:ea typeface="+mn-ea"/>
              <a:cs typeface="+mn-cs"/>
            </a:rPr>
            <a:t>Does Not Exceed National Medicaid Mean, but increased from 2020 = 2 Points</a:t>
          </a:r>
          <a:endParaRPr lang="en-US">
            <a:effectLst/>
          </a:endParaRPr>
        </a:p>
        <a:p>
          <a:r>
            <a:rPr lang="en-US" sz="1100">
              <a:solidFill>
                <a:schemeClr val="dk1"/>
              </a:solidFill>
              <a:effectLst/>
              <a:latin typeface="+mn-lt"/>
              <a:ea typeface="+mn-ea"/>
              <a:cs typeface="+mn-cs"/>
            </a:rPr>
            <a:t>Does Not Exceed National Medicaid Mean and did not increase from 2020= 0 Points</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LTSS HEDIS Measures</a:t>
          </a:r>
          <a:endParaRPr lang="en-US">
            <a:effectLst/>
          </a:endParaRPr>
        </a:p>
        <a:p>
          <a:r>
            <a:rPr lang="en-US" sz="1100" b="1">
              <a:solidFill>
                <a:schemeClr val="dk1"/>
              </a:solidFill>
              <a:effectLst/>
              <a:latin typeface="+mn-lt"/>
              <a:ea typeface="+mn-ea"/>
              <a:cs typeface="+mn-cs"/>
            </a:rPr>
            <a:t>For Each of the 4 LTSS HEDIS Measures:</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2019</a:t>
          </a:r>
          <a:endParaRPr lang="en-US">
            <a:effectLst/>
          </a:endParaRPr>
        </a:p>
        <a:p>
          <a:r>
            <a:rPr lang="en-US" sz="1100">
              <a:solidFill>
                <a:schemeClr val="dk1"/>
              </a:solidFill>
              <a:effectLst/>
              <a:latin typeface="+mn-lt"/>
              <a:ea typeface="+mn-ea"/>
              <a:cs typeface="+mn-cs"/>
            </a:rPr>
            <a:t>Exceeds Florida Statewide Medicaid Mean = 2 Points</a:t>
          </a:r>
          <a:endParaRPr lang="en-US">
            <a:effectLst/>
          </a:endParaRPr>
        </a:p>
        <a:p>
          <a:r>
            <a:rPr lang="en-US" sz="1100">
              <a:solidFill>
                <a:schemeClr val="dk1"/>
              </a:solidFill>
              <a:effectLst/>
              <a:latin typeface="+mn-lt"/>
              <a:ea typeface="+mn-ea"/>
              <a:cs typeface="+mn-cs"/>
            </a:rPr>
            <a:t>Does Not Exceed Florida Statewide Medicaid Mean = 0 Points</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2020</a:t>
          </a:r>
          <a:endParaRPr lang="en-US">
            <a:effectLst/>
          </a:endParaRPr>
        </a:p>
        <a:p>
          <a:r>
            <a:rPr lang="en-US" sz="1100">
              <a:solidFill>
                <a:schemeClr val="dk1"/>
              </a:solidFill>
              <a:effectLst/>
              <a:latin typeface="+mn-lt"/>
              <a:ea typeface="+mn-ea"/>
              <a:cs typeface="+mn-cs"/>
            </a:rPr>
            <a:t>Exceeds Florida Statewide Medicaid Mean and increased from 2019 = 4 Points</a:t>
          </a:r>
          <a:endParaRPr lang="en-US">
            <a:effectLst/>
          </a:endParaRPr>
        </a:p>
        <a:p>
          <a:r>
            <a:rPr lang="en-US" sz="1100">
              <a:solidFill>
                <a:schemeClr val="dk1"/>
              </a:solidFill>
              <a:effectLst/>
              <a:latin typeface="+mn-lt"/>
              <a:ea typeface="+mn-ea"/>
              <a:cs typeface="+mn-cs"/>
            </a:rPr>
            <a:t>Exceeds Florida Statewide Medicaid Mean, but did not increase from 2019 = 2 Points</a:t>
          </a:r>
          <a:endParaRPr lang="en-US">
            <a:effectLst/>
          </a:endParaRPr>
        </a:p>
        <a:p>
          <a:r>
            <a:rPr lang="en-US" sz="1100">
              <a:solidFill>
                <a:schemeClr val="dk1"/>
              </a:solidFill>
              <a:effectLst/>
              <a:latin typeface="+mn-lt"/>
              <a:ea typeface="+mn-ea"/>
              <a:cs typeface="+mn-cs"/>
            </a:rPr>
            <a:t>Does Not Exceed Florida Statewide Medicaid Mean, but increased from 2019 = 2 Points</a:t>
          </a:r>
          <a:endParaRPr lang="en-US">
            <a:effectLst/>
          </a:endParaRPr>
        </a:p>
        <a:p>
          <a:r>
            <a:rPr lang="en-US" sz="1100">
              <a:solidFill>
                <a:schemeClr val="dk1"/>
              </a:solidFill>
              <a:effectLst/>
              <a:latin typeface="+mn-lt"/>
              <a:ea typeface="+mn-ea"/>
              <a:cs typeface="+mn-cs"/>
            </a:rPr>
            <a:t>Does Not Exceed Florida Statewide Medicaid Mean and did not increase from 2019 = 0 Points</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2021</a:t>
          </a:r>
          <a:endParaRPr lang="en-US">
            <a:effectLst/>
          </a:endParaRPr>
        </a:p>
        <a:p>
          <a:r>
            <a:rPr lang="en-US" sz="1100">
              <a:solidFill>
                <a:schemeClr val="dk1"/>
              </a:solidFill>
              <a:effectLst/>
              <a:latin typeface="+mn-lt"/>
              <a:ea typeface="+mn-ea"/>
              <a:cs typeface="+mn-cs"/>
            </a:rPr>
            <a:t>Exceeds Florida Statewide Medicaid Mean and increased from 2020 = 4 Points</a:t>
          </a:r>
          <a:endParaRPr lang="en-US">
            <a:effectLst/>
          </a:endParaRPr>
        </a:p>
        <a:p>
          <a:r>
            <a:rPr lang="en-US" sz="1100">
              <a:solidFill>
                <a:schemeClr val="dk1"/>
              </a:solidFill>
              <a:effectLst/>
              <a:latin typeface="+mn-lt"/>
              <a:ea typeface="+mn-ea"/>
              <a:cs typeface="+mn-cs"/>
            </a:rPr>
            <a:t>Exceeds Florida Statewide Medicaid Mean, but did not increase from 2020 = 2 Points</a:t>
          </a:r>
          <a:endParaRPr lang="en-US">
            <a:effectLst/>
          </a:endParaRPr>
        </a:p>
        <a:p>
          <a:r>
            <a:rPr lang="en-US" sz="1100">
              <a:solidFill>
                <a:schemeClr val="dk1"/>
              </a:solidFill>
              <a:effectLst/>
              <a:latin typeface="+mn-lt"/>
              <a:ea typeface="+mn-ea"/>
              <a:cs typeface="+mn-cs"/>
            </a:rPr>
            <a:t>Does Not Exceed Florida Statewide Medicaid Mean, but increased from 2020 = 2 Points</a:t>
          </a:r>
          <a:endParaRPr lang="en-US">
            <a:effectLst/>
          </a:endParaRPr>
        </a:p>
        <a:p>
          <a:r>
            <a:rPr lang="en-US" sz="1100">
              <a:solidFill>
                <a:schemeClr val="dk1"/>
              </a:solidFill>
              <a:effectLst/>
              <a:latin typeface="+mn-lt"/>
              <a:ea typeface="+mn-ea"/>
              <a:cs typeface="+mn-cs"/>
            </a:rPr>
            <a:t>Does Not Exceed Florida Statewide Medicaid Mean and did not increase from 2020= 0 Points</a:t>
          </a:r>
          <a:endParaRPr lang="en-US">
            <a:effectLst/>
          </a:endParaRPr>
        </a:p>
        <a:p>
          <a:r>
            <a:rPr lang="en-US" sz="1100">
              <a:solidFill>
                <a:schemeClr val="dk1"/>
              </a:solidFill>
              <a:effectLst/>
              <a:latin typeface="+mn-lt"/>
              <a:ea typeface="+mn-ea"/>
              <a:cs typeface="+mn-cs"/>
            </a:rPr>
            <a:t> </a:t>
          </a:r>
          <a:endParaRPr lang="en-US">
            <a:effectLst/>
          </a:endParaRPr>
        </a:p>
        <a:p>
          <a:r>
            <a:rPr lang="en-US" sz="1100" u="sng">
              <a:solidFill>
                <a:schemeClr val="dk1"/>
              </a:solidFill>
              <a:effectLst/>
              <a:latin typeface="+mn-lt"/>
              <a:ea typeface="+mn-ea"/>
              <a:cs typeface="+mn-cs"/>
            </a:rPr>
            <a:t>For HEDIS measures ONLY</a:t>
          </a:r>
          <a:r>
            <a:rPr lang="en-US" sz="1100">
              <a:solidFill>
                <a:schemeClr val="dk1"/>
              </a:solidFill>
              <a:effectLst/>
              <a:latin typeface="+mn-lt"/>
              <a:ea typeface="+mn-ea"/>
              <a:cs typeface="+mn-cs"/>
            </a:rPr>
            <a:t>, weighting will be applied to point totals based on the Contract line of business: </a:t>
          </a:r>
          <a:endParaRPr lang="en-US">
            <a:effectLst/>
          </a:endParaRPr>
        </a:p>
        <a:p>
          <a:r>
            <a:rPr lang="en-US" sz="1100">
              <a:solidFill>
                <a:schemeClr val="dk1"/>
              </a:solidFill>
              <a:effectLst/>
              <a:latin typeface="+mn-lt"/>
              <a:ea typeface="+mn-ea"/>
              <a:cs typeface="+mn-cs"/>
            </a:rPr>
            <a:t>• Medicaid Contract performance measure rate points will be 100% of the points received based on the methodology above.  </a:t>
          </a:r>
          <a:endParaRPr lang="en-US">
            <a:effectLst/>
          </a:endParaRPr>
        </a:p>
        <a:p>
          <a:r>
            <a:rPr lang="en-US" sz="1100">
              <a:solidFill>
                <a:schemeClr val="dk1"/>
              </a:solidFill>
              <a:effectLst/>
              <a:latin typeface="+mn-lt"/>
              <a:ea typeface="+mn-ea"/>
              <a:cs typeface="+mn-cs"/>
            </a:rPr>
            <a:t>• CHIP Contract performance measure rate points will be 90% of the points received based on the methodology above.  </a:t>
          </a:r>
          <a:endParaRPr lang="en-US">
            <a:effectLst/>
          </a:endParaRPr>
        </a:p>
        <a:p>
          <a:r>
            <a:rPr lang="en-US" sz="1100">
              <a:solidFill>
                <a:schemeClr val="dk1"/>
              </a:solidFill>
              <a:effectLst/>
              <a:latin typeface="+mn-lt"/>
              <a:ea typeface="+mn-ea"/>
              <a:cs typeface="+mn-cs"/>
            </a:rPr>
            <a:t>• Medicare Contract performance measure rate points will be 80% of the points received based on the methodology above.  </a:t>
          </a:r>
          <a:endParaRPr lang="en-US">
            <a:effectLst/>
          </a:endParaRPr>
        </a:p>
        <a:p>
          <a:r>
            <a:rPr lang="en-US" sz="1100">
              <a:solidFill>
                <a:schemeClr val="dk1"/>
              </a:solidFill>
              <a:effectLst/>
              <a:latin typeface="+mn-lt"/>
              <a:ea typeface="+mn-ea"/>
              <a:cs typeface="+mn-cs"/>
            </a:rPr>
            <a:t> </a:t>
          </a:r>
          <a:endParaRPr lang="en-US">
            <a:effectLst/>
          </a:endParaRPr>
        </a:p>
        <a:p>
          <a:r>
            <a:rPr lang="en-US" sz="1100" i="1">
              <a:solidFill>
                <a:schemeClr val="dk1"/>
              </a:solidFill>
              <a:effectLst/>
              <a:latin typeface="+mn-lt"/>
              <a:ea typeface="+mn-ea"/>
              <a:cs typeface="+mn-cs"/>
            </a:rPr>
            <a:t>For example,</a:t>
          </a:r>
          <a:r>
            <a:rPr lang="en-US" sz="1100">
              <a:solidFill>
                <a:schemeClr val="dk1"/>
              </a:solidFill>
              <a:effectLst/>
              <a:latin typeface="+mn-lt"/>
              <a:ea typeface="+mn-ea"/>
              <a:cs typeface="+mn-cs"/>
            </a:rPr>
            <a:t> if a respondent reports on a Contract for 3 years of performance measures (with a total of 48 opportunities to report prior experience for a maximum total of 160 points), and receives 100 out of 160 possible points, a Medicaid plan will receive 100 points while a CHIP plan will receive 90 points and a Medicare plan will receive 80 points.    </a:t>
          </a:r>
          <a:endParaRPr lang="en-US">
            <a:effectLst/>
          </a:endParaRPr>
        </a:p>
        <a:p>
          <a:r>
            <a:rPr lang="en-US" sz="1100">
              <a:solidFill>
                <a:schemeClr val="dk1"/>
              </a:solidFill>
              <a:effectLst/>
              <a:latin typeface="+mn-lt"/>
              <a:ea typeface="+mn-ea"/>
              <a:cs typeface="+mn-cs"/>
            </a:rPr>
            <a:t> </a:t>
          </a:r>
          <a:endParaRPr lang="en-US">
            <a:effectLst/>
          </a:endParaRPr>
        </a:p>
        <a:p>
          <a:r>
            <a:rPr lang="en-US" sz="1100" u="sng">
              <a:solidFill>
                <a:schemeClr val="dk1"/>
              </a:solidFill>
              <a:effectLst/>
              <a:latin typeface="+mn-lt"/>
              <a:ea typeface="+mn-ea"/>
              <a:cs typeface="+mn-cs"/>
            </a:rPr>
            <a:t>For both HEDIS measures and LTSS measures</a:t>
          </a:r>
          <a:r>
            <a:rPr lang="en-US" sz="1100">
              <a:solidFill>
                <a:schemeClr val="dk1"/>
              </a:solidFill>
              <a:effectLst/>
              <a:latin typeface="+mn-lt"/>
              <a:ea typeface="+mn-ea"/>
              <a:cs typeface="+mn-cs"/>
            </a:rPr>
            <a:t>, additional weighting will be applied based on geographic area of contract.  </a:t>
          </a:r>
          <a:endParaRPr lang="en-US">
            <a:effectLst/>
          </a:endParaRPr>
        </a:p>
        <a:p>
          <a:r>
            <a:rPr lang="en-US" sz="1100">
              <a:solidFill>
                <a:schemeClr val="dk1"/>
              </a:solidFill>
              <a:effectLst/>
              <a:latin typeface="+mn-lt"/>
              <a:ea typeface="+mn-ea"/>
              <a:cs typeface="+mn-cs"/>
            </a:rPr>
            <a:t>• Florida contracts that cover 9-11 of the state’s 11 Medicaid regions will receive 100% of the points received based on the methodology above (including scoring and weighting by line of business for HEDIS measures).</a:t>
          </a:r>
          <a:endParaRPr lang="en-US">
            <a:effectLst/>
          </a:endParaRPr>
        </a:p>
        <a:p>
          <a:r>
            <a:rPr lang="en-US" sz="1100">
              <a:solidFill>
                <a:schemeClr val="dk1"/>
              </a:solidFill>
              <a:effectLst/>
              <a:latin typeface="+mn-lt"/>
              <a:ea typeface="+mn-ea"/>
              <a:cs typeface="+mn-cs"/>
            </a:rPr>
            <a:t>• Florida contracts that cover 5-8 regions will receive 90% of the points received.</a:t>
          </a:r>
          <a:endParaRPr lang="en-US">
            <a:effectLst/>
          </a:endParaRPr>
        </a:p>
      </xdr:txBody>
    </xdr:sp>
    <xdr:clientData/>
  </xdr:twoCellAnchor>
  <xdr:twoCellAnchor>
    <xdr:from>
      <xdr:col>13</xdr:col>
      <xdr:colOff>76200</xdr:colOff>
      <xdr:row>1</xdr:row>
      <xdr:rowOff>66675</xdr:rowOff>
    </xdr:from>
    <xdr:to>
      <xdr:col>16</xdr:col>
      <xdr:colOff>4076700</xdr:colOff>
      <xdr:row>26</xdr:row>
      <xdr:rowOff>180975</xdr:rowOff>
    </xdr:to>
    <xdr:sp macro="" textlink="">
      <xdr:nvSpPr>
        <xdr:cNvPr id="6" name="TextBox 4">
          <a:extLst>
            <a:ext uri="{FF2B5EF4-FFF2-40B4-BE49-F238E27FC236}">
              <a16:creationId xmlns:a16="http://schemas.microsoft.com/office/drawing/2014/main" id="{00000000-0008-0000-0B00-000006000000}"/>
            </a:ext>
          </a:extLst>
        </xdr:cNvPr>
        <xdr:cNvSpPr txBox="1"/>
      </xdr:nvSpPr>
      <xdr:spPr>
        <a:xfrm>
          <a:off x="11058525" y="361950"/>
          <a:ext cx="5829300" cy="499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100">
              <a:solidFill>
                <a:schemeClr val="dk1"/>
              </a:solidFill>
              <a:effectLst/>
              <a:latin typeface="+mn-lt"/>
              <a:ea typeface="+mn-ea"/>
              <a:cs typeface="+mn-cs"/>
            </a:rPr>
            <a:t>• Florida contracts that cover 1-4 regions will receive 80% of the points received.  </a:t>
          </a:r>
          <a:r>
            <a:rPr lang="en-US" sz="1100" i="1">
              <a:solidFill>
                <a:schemeClr val="dk1"/>
              </a:solidFill>
              <a:effectLst/>
              <a:latin typeface="+mn-lt"/>
              <a:ea typeface="+mn-ea"/>
              <a:cs typeface="+mn-cs"/>
            </a:rPr>
            <a:t>For example</a:t>
          </a:r>
          <a:r>
            <a:rPr lang="en-US" sz="1100">
              <a:solidFill>
                <a:schemeClr val="dk1"/>
              </a:solidFill>
              <a:effectLst/>
              <a:latin typeface="+mn-lt"/>
              <a:ea typeface="+mn-ea"/>
              <a:cs typeface="+mn-cs"/>
            </a:rPr>
            <a:t>, a Florida Medicaid contract that receives 100 points and operates in two regions will receive 80 points (80% of the 100 points).</a:t>
          </a:r>
        </a:p>
        <a:p>
          <a:pPr lvl="0"/>
          <a:r>
            <a:rPr lang="en-US" sz="1100">
              <a:solidFill>
                <a:schemeClr val="dk1"/>
              </a:solidFill>
              <a:effectLst/>
              <a:latin typeface="+mn-lt"/>
              <a:ea typeface="+mn-ea"/>
              <a:cs typeface="+mn-cs"/>
            </a:rPr>
            <a:t>• Non-Florida statewide contracts will receive 100% of the points received based on the methodology above (including scoring and weighting by line of business for HEDIS measures).</a:t>
          </a:r>
        </a:p>
        <a:p>
          <a:pPr lvl="0"/>
          <a:r>
            <a:rPr lang="en-US" sz="1100">
              <a:solidFill>
                <a:schemeClr val="dk1"/>
              </a:solidFill>
              <a:effectLst/>
              <a:latin typeface="+mn-lt"/>
              <a:ea typeface="+mn-ea"/>
              <a:cs typeface="+mn-cs"/>
            </a:rPr>
            <a:t>• Non-Florida contracts that are </a:t>
          </a:r>
          <a:r>
            <a:rPr lang="en-US" sz="1100" b="1">
              <a:solidFill>
                <a:schemeClr val="dk1"/>
              </a:solidFill>
              <a:effectLst/>
              <a:latin typeface="+mn-lt"/>
              <a:ea typeface="+mn-ea"/>
              <a:cs typeface="+mn-cs"/>
            </a:rPr>
            <a:t>not</a:t>
          </a:r>
          <a:r>
            <a:rPr lang="en-US" sz="1100">
              <a:solidFill>
                <a:schemeClr val="dk1"/>
              </a:solidFill>
              <a:effectLst/>
              <a:latin typeface="+mn-lt"/>
              <a:ea typeface="+mn-ea"/>
              <a:cs typeface="+mn-cs"/>
            </a:rPr>
            <a:t> statewide will receive 80% of the points received.  </a:t>
          </a:r>
          <a:r>
            <a:rPr lang="en-US" sz="1100" i="1">
              <a:solidFill>
                <a:schemeClr val="dk1"/>
              </a:solidFill>
              <a:effectLst/>
              <a:latin typeface="+mn-lt"/>
              <a:ea typeface="+mn-ea"/>
              <a:cs typeface="+mn-cs"/>
            </a:rPr>
            <a:t>For example</a:t>
          </a:r>
          <a:r>
            <a:rPr lang="en-US" sz="1100">
              <a:solidFill>
                <a:schemeClr val="dk1"/>
              </a:solidFill>
              <a:effectLst/>
              <a:latin typeface="+mn-lt"/>
              <a:ea typeface="+mn-ea"/>
              <a:cs typeface="+mn-cs"/>
            </a:rPr>
            <a:t>, a CHIP plan or LTC plan already receiving 90 points that is not statewide will receive 72 points (80% of the 90 points). </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The total number of points is the sum of all individual points earned for the HEDIS measures divided by 420 and rounded down to a whole number plus the sum of all individual points earned for the LTSS HEDIS measures divided by 120 and rounded down to a whole number.</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 total earned points possible is 120.</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i="1">
              <a:solidFill>
                <a:schemeClr val="dk1"/>
              </a:solidFill>
              <a:effectLst/>
              <a:latin typeface="+mn-lt"/>
              <a:ea typeface="+mn-ea"/>
              <a:cs typeface="+mn-cs"/>
            </a:rPr>
            <a:t>For example</a:t>
          </a:r>
          <a:r>
            <a:rPr lang="en-US" sz="1100">
              <a:solidFill>
                <a:schemeClr val="dk1"/>
              </a:solidFill>
              <a:effectLst/>
              <a:latin typeface="+mn-lt"/>
              <a:ea typeface="+mn-ea"/>
              <a:cs typeface="+mn-cs"/>
            </a:rPr>
            <a:t>, for the HEDIS measures, if a respondent receives 100% of the available 420 points, the final score will be 100 points (100%).  If a respondent receives 378 (90%) of the available 420 points, the final score will be 90 points (90%).  If a respondent receives 42 (10%) of the available 420 points, the final score will be 10 points (10%).  If a respondent receives 100 of the 420 points (23.81%), the final score will be 23 points (rounded down from 23.81).</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For the LTSS HEDIS measures, if a respondent receives 100% of the 120 available points, the final score will be 20 points (100%).  If a respondent receives 72 (60%) of the available 120 points, the final score will be 12 points (60%).  If a respondent receives 24 (20%) of the available 120 points, the final score will be 4 points (20%).  If a respondent receives 50 of the 120 points (41.67%), the final score will be 8 points (rounded down from 8.33). </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The maximum Final Score Possible is 120.</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4</xdr:row>
      <xdr:rowOff>190498</xdr:rowOff>
    </xdr:from>
    <xdr:to>
      <xdr:col>7</xdr:col>
      <xdr:colOff>533400</xdr:colOff>
      <xdr:row>40</xdr:row>
      <xdr:rowOff>180975</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57150" y="1162048"/>
          <a:ext cx="5191125" cy="68484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Scoring will be designated based upon the following criteria:</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Improvement in the Key Metric:</a:t>
          </a:r>
          <a:endParaRPr lang="en-US" sz="1100">
            <a:solidFill>
              <a:schemeClr val="dk1"/>
            </a:solidFill>
            <a:effectLst/>
            <a:latin typeface="+mn-lt"/>
            <a:ea typeface="+mn-ea"/>
            <a:cs typeface="+mn-cs"/>
          </a:endParaRPr>
        </a:p>
        <a:p>
          <a:r>
            <a:rPr lang="en-US" sz="1100" u="none">
              <a:solidFill>
                <a:schemeClr val="dk1"/>
              </a:solidFill>
              <a:effectLst/>
              <a:latin typeface="+mn-lt"/>
              <a:ea typeface="+mn-ea"/>
              <a:cs typeface="+mn-cs"/>
            </a:rPr>
            <a:t>20% or Higher = 10 Points</a:t>
          </a:r>
        </a:p>
        <a:p>
          <a:r>
            <a:rPr lang="en-US" sz="1100" u="none">
              <a:solidFill>
                <a:schemeClr val="dk1"/>
              </a:solidFill>
              <a:effectLst/>
              <a:latin typeface="+mn-lt"/>
              <a:ea typeface="+mn-ea"/>
              <a:cs typeface="+mn-cs"/>
            </a:rPr>
            <a:t>16-19.99% = 8 Points</a:t>
          </a:r>
        </a:p>
        <a:p>
          <a:r>
            <a:rPr lang="en-US" sz="1100" u="none">
              <a:solidFill>
                <a:schemeClr val="dk1"/>
              </a:solidFill>
              <a:effectLst/>
              <a:latin typeface="+mn-lt"/>
              <a:ea typeface="+mn-ea"/>
              <a:cs typeface="+mn-cs"/>
            </a:rPr>
            <a:t>11-15.99</a:t>
          </a:r>
          <a:r>
            <a:rPr lang="en-US" sz="1100">
              <a:solidFill>
                <a:schemeClr val="dk1"/>
              </a:solidFill>
              <a:effectLst/>
              <a:latin typeface="+mn-lt"/>
              <a:ea typeface="+mn-ea"/>
              <a:cs typeface="+mn-cs"/>
            </a:rPr>
            <a:t>% = 6 Points</a:t>
          </a:r>
        </a:p>
        <a:p>
          <a:r>
            <a:rPr lang="en-US" sz="1100">
              <a:solidFill>
                <a:schemeClr val="dk1"/>
              </a:solidFill>
              <a:effectLst/>
              <a:latin typeface="+mn-lt"/>
              <a:ea typeface="+mn-ea"/>
              <a:cs typeface="+mn-cs"/>
            </a:rPr>
            <a:t>6-10.99% = 4 Points</a:t>
          </a:r>
        </a:p>
        <a:p>
          <a:r>
            <a:rPr lang="en-US" sz="1100">
              <a:solidFill>
                <a:schemeClr val="dk1"/>
              </a:solidFill>
              <a:effectLst/>
              <a:latin typeface="+mn-lt"/>
              <a:ea typeface="+mn-ea"/>
              <a:cs typeface="+mn-cs"/>
            </a:rPr>
            <a:t>1-5.99% = 2 Points</a:t>
          </a:r>
        </a:p>
        <a:p>
          <a:r>
            <a:rPr lang="en-US" sz="1100">
              <a:solidFill>
                <a:schemeClr val="dk1"/>
              </a:solidFill>
              <a:effectLst/>
              <a:latin typeface="+mn-lt"/>
              <a:ea typeface="+mn-ea"/>
              <a:cs typeface="+mn-cs"/>
            </a:rPr>
            <a:t>Less than 1%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 Enrollees Targeted in the Quality Improvement Project:</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20% or Higher = 10 Points</a:t>
          </a:r>
          <a:endParaRPr lang="en-US">
            <a:effectLst/>
          </a:endParaRPr>
        </a:p>
        <a:p>
          <a:r>
            <a:rPr lang="en-US" sz="1100">
              <a:solidFill>
                <a:schemeClr val="dk1"/>
              </a:solidFill>
              <a:effectLst/>
              <a:latin typeface="+mn-lt"/>
              <a:ea typeface="+mn-ea"/>
              <a:cs typeface="+mn-cs"/>
            </a:rPr>
            <a:t>16-19.99% = 8 Points</a:t>
          </a:r>
          <a:endParaRPr lang="en-US">
            <a:effectLst/>
          </a:endParaRPr>
        </a:p>
        <a:p>
          <a:r>
            <a:rPr lang="en-US" sz="1100">
              <a:solidFill>
                <a:schemeClr val="dk1"/>
              </a:solidFill>
              <a:effectLst/>
              <a:latin typeface="+mn-lt"/>
              <a:ea typeface="+mn-ea"/>
              <a:cs typeface="+mn-cs"/>
            </a:rPr>
            <a:t>11-15.99% = 6 Points</a:t>
          </a:r>
          <a:endParaRPr lang="en-US">
            <a:effectLst/>
          </a:endParaRPr>
        </a:p>
        <a:p>
          <a:r>
            <a:rPr lang="en-US" sz="1100">
              <a:solidFill>
                <a:schemeClr val="dk1"/>
              </a:solidFill>
              <a:effectLst/>
              <a:latin typeface="+mn-lt"/>
              <a:ea typeface="+mn-ea"/>
              <a:cs typeface="+mn-cs"/>
            </a:rPr>
            <a:t>6-10.99% = 4 Points</a:t>
          </a:r>
          <a:endParaRPr lang="en-US">
            <a:effectLst/>
          </a:endParaRPr>
        </a:p>
        <a:p>
          <a:r>
            <a:rPr lang="en-US" sz="1100">
              <a:solidFill>
                <a:schemeClr val="dk1"/>
              </a:solidFill>
              <a:effectLst/>
              <a:latin typeface="+mn-lt"/>
              <a:ea typeface="+mn-ea"/>
              <a:cs typeface="+mn-cs"/>
            </a:rPr>
            <a:t>1-5.99% = 2 Points</a:t>
          </a:r>
          <a:endParaRPr lang="en-US">
            <a:effectLst/>
          </a:endParaRPr>
        </a:p>
        <a:p>
          <a:r>
            <a:rPr lang="en-US" sz="1100">
              <a:solidFill>
                <a:schemeClr val="dk1"/>
              </a:solidFill>
              <a:effectLst/>
              <a:latin typeface="+mn-lt"/>
              <a:ea typeface="+mn-ea"/>
              <a:cs typeface="+mn-cs"/>
            </a:rPr>
            <a:t>Less than 1% = 0 Points</a:t>
          </a:r>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Quality Improvement Project Focused on:</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Mental Health, Birth Outcomes, or Home and Community-Based Services = 1 Point</a:t>
          </a:r>
        </a:p>
        <a:p>
          <a:r>
            <a:rPr lang="en-US" sz="1100">
              <a:solidFill>
                <a:schemeClr val="dk1"/>
              </a:solidFill>
              <a:effectLst/>
              <a:latin typeface="+mn-lt"/>
              <a:ea typeface="+mn-ea"/>
              <a:cs typeface="+mn-cs"/>
            </a:rPr>
            <a:t>Other Focus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Weighting will be applied to point totals for each contract based on the contract line of business: </a:t>
          </a:r>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Medicaid Contract Quality Improvement Project points will be 100% of the points received.</a:t>
          </a:r>
        </a:p>
        <a:p>
          <a:pPr lvl="0"/>
          <a:r>
            <a:rPr lang="en-US" sz="1100">
              <a:solidFill>
                <a:schemeClr val="dk1"/>
              </a:solidFill>
              <a:effectLst/>
              <a:latin typeface="+mn-lt"/>
              <a:ea typeface="+mn-ea"/>
              <a:cs typeface="+mn-cs"/>
            </a:rPr>
            <a:t>CHIP Contract Quality Improvement Project points will be 90% of the points received. </a:t>
          </a:r>
        </a:p>
        <a:p>
          <a:pPr lvl="0"/>
          <a:r>
            <a:rPr lang="en-US" sz="1100">
              <a:solidFill>
                <a:schemeClr val="dk1"/>
              </a:solidFill>
              <a:effectLst/>
              <a:latin typeface="+mn-lt"/>
              <a:ea typeface="+mn-ea"/>
              <a:cs typeface="+mn-cs"/>
            </a:rPr>
            <a:t>Medicare Contract Quality Improvement Project points will be 80% of the points received.</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The total number of points is the sum of all individual weighted points earned for all three contracts.</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 total earned points possible is 63.</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 maximum Final Score Possible is 90.</a:t>
          </a:r>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The Final Score is calculated by multiplying the percentage of total points earned out of total points possible by the maximum Final Score Possible.</a:t>
          </a:r>
          <a:endParaRPr lang="en-US" sz="11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4</xdr:row>
      <xdr:rowOff>9525</xdr:rowOff>
    </xdr:from>
    <xdr:to>
      <xdr:col>8</xdr:col>
      <xdr:colOff>533400</xdr:colOff>
      <xdr:row>44</xdr:row>
      <xdr:rowOff>114301</xdr:rowOff>
    </xdr:to>
    <xdr:sp macro="" textlink="">
      <xdr:nvSpPr>
        <xdr:cNvPr id="30" name="TextBox 1">
          <a:extLst>
            <a:ext uri="{FF2B5EF4-FFF2-40B4-BE49-F238E27FC236}">
              <a16:creationId xmlns:a16="http://schemas.microsoft.com/office/drawing/2014/main" id="{00000000-0008-0000-0F00-00001E000000}"/>
            </a:ext>
          </a:extLst>
        </xdr:cNvPr>
        <xdr:cNvSpPr txBox="1"/>
      </xdr:nvSpPr>
      <xdr:spPr>
        <a:xfrm>
          <a:off x="95250" y="981075"/>
          <a:ext cx="5314950" cy="7724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Scoring will be designated based upon the following criteria:</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b="1" u="none">
              <a:solidFill>
                <a:schemeClr val="dk1"/>
              </a:solidFill>
              <a:effectLst/>
              <a:latin typeface="+mn-lt"/>
              <a:ea typeface="+mn-ea"/>
              <a:cs typeface="+mn-cs"/>
            </a:rPr>
            <a:t>Percent of in-network </a:t>
          </a:r>
          <a:r>
            <a:rPr lang="en-US" sz="1100" b="1">
              <a:solidFill>
                <a:schemeClr val="dk1"/>
              </a:solidFill>
              <a:effectLst/>
              <a:latin typeface="+mn-lt"/>
              <a:ea typeface="+mn-ea"/>
              <a:cs typeface="+mn-cs"/>
            </a:rPr>
            <a:t>physician specialists who practiced in a certified patient</a:t>
          </a:r>
          <a:r>
            <a:rPr lang="en-US" sz="1100" b="1" baseline="0">
              <a:solidFill>
                <a:schemeClr val="dk1"/>
              </a:solidFill>
              <a:effectLst/>
              <a:latin typeface="+mn-lt"/>
              <a:ea typeface="+mn-ea"/>
              <a:cs typeface="+mn-cs"/>
            </a:rPr>
            <a:t> centered</a:t>
          </a:r>
          <a:r>
            <a:rPr lang="en-US" sz="1100" b="1">
              <a:solidFill>
                <a:schemeClr val="dk1"/>
              </a:solidFill>
              <a:effectLst/>
              <a:latin typeface="+mn-lt"/>
              <a:ea typeface="+mn-ea"/>
              <a:cs typeface="+mn-cs"/>
            </a:rPr>
            <a:t> medical home (PCMH) in the most recent complete contract year</a:t>
          </a:r>
          <a:r>
            <a:rPr lang="en-US" sz="1100">
              <a:solidFill>
                <a:schemeClr val="dk1"/>
              </a:solidFill>
              <a:effectLst/>
              <a:latin typeface="+mn-lt"/>
              <a:ea typeface="+mn-ea"/>
              <a:cs typeface="+mn-cs"/>
            </a:rPr>
            <a:t>:</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Family Practice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Greater than 50% = 5 Points</a:t>
          </a:r>
        </a:p>
        <a:p>
          <a:r>
            <a:rPr lang="en-US" sz="1100">
              <a:solidFill>
                <a:schemeClr val="dk1"/>
              </a:solidFill>
              <a:effectLst/>
              <a:latin typeface="+mn-lt"/>
              <a:ea typeface="+mn-ea"/>
              <a:cs typeface="+mn-cs"/>
            </a:rPr>
            <a:t>25-50% = 3 Points</a:t>
          </a:r>
        </a:p>
        <a:p>
          <a:r>
            <a:rPr lang="en-US" sz="1100">
              <a:solidFill>
                <a:schemeClr val="dk1"/>
              </a:solidFill>
              <a:effectLst/>
              <a:latin typeface="+mn-lt"/>
              <a:ea typeface="+mn-ea"/>
              <a:cs typeface="+mn-cs"/>
            </a:rPr>
            <a:t>1-24.99% = 1 Point</a:t>
          </a:r>
        </a:p>
        <a:p>
          <a:r>
            <a:rPr lang="en-US" sz="1100">
              <a:solidFill>
                <a:schemeClr val="dk1"/>
              </a:solidFill>
              <a:effectLst/>
              <a:latin typeface="+mn-lt"/>
              <a:ea typeface="+mn-ea"/>
              <a:cs typeface="+mn-cs"/>
            </a:rPr>
            <a:t>Less than 1% = 0 Points</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Internal Medicine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Greater than 50% = 5 Points</a:t>
          </a:r>
        </a:p>
        <a:p>
          <a:r>
            <a:rPr lang="en-US" sz="1100">
              <a:solidFill>
                <a:schemeClr val="dk1"/>
              </a:solidFill>
              <a:effectLst/>
              <a:latin typeface="+mn-lt"/>
              <a:ea typeface="+mn-ea"/>
              <a:cs typeface="+mn-cs"/>
            </a:rPr>
            <a:t>25-50% = 3 Points</a:t>
          </a:r>
        </a:p>
        <a:p>
          <a:r>
            <a:rPr lang="en-US" sz="1100">
              <a:solidFill>
                <a:schemeClr val="dk1"/>
              </a:solidFill>
              <a:effectLst/>
              <a:latin typeface="+mn-lt"/>
              <a:ea typeface="+mn-ea"/>
              <a:cs typeface="+mn-cs"/>
            </a:rPr>
            <a:t>1-24.99% = 1 Point</a:t>
          </a:r>
        </a:p>
        <a:p>
          <a:r>
            <a:rPr lang="en-US" sz="1100">
              <a:solidFill>
                <a:schemeClr val="dk1"/>
              </a:solidFill>
              <a:effectLst/>
              <a:latin typeface="+mn-lt"/>
              <a:ea typeface="+mn-ea"/>
              <a:cs typeface="+mn-cs"/>
            </a:rPr>
            <a:t>Less than 1% = 0 Points</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Pediatrics</a:t>
          </a:r>
          <a:r>
            <a:rPr lang="en-US" sz="1100">
              <a:solidFill>
                <a:schemeClr val="dk1"/>
              </a:solidFill>
              <a:effectLst/>
              <a:latin typeface="+mn-lt"/>
              <a:ea typeface="+mn-ea"/>
              <a:cs typeface="+mn-cs"/>
            </a:rPr>
            <a:t> (including Adolescent Medicine)</a:t>
          </a:r>
        </a:p>
        <a:p>
          <a:r>
            <a:rPr lang="en-US" sz="1100">
              <a:solidFill>
                <a:schemeClr val="dk1"/>
              </a:solidFill>
              <a:effectLst/>
              <a:latin typeface="+mn-lt"/>
              <a:ea typeface="+mn-ea"/>
              <a:cs typeface="+mn-cs"/>
            </a:rPr>
            <a:t>Greater than 50% = 5 Points</a:t>
          </a:r>
        </a:p>
        <a:p>
          <a:r>
            <a:rPr lang="en-US" sz="1100">
              <a:solidFill>
                <a:schemeClr val="dk1"/>
              </a:solidFill>
              <a:effectLst/>
              <a:latin typeface="+mn-lt"/>
              <a:ea typeface="+mn-ea"/>
              <a:cs typeface="+mn-cs"/>
            </a:rPr>
            <a:t>25-50% = 3 Points</a:t>
          </a:r>
        </a:p>
        <a:p>
          <a:r>
            <a:rPr lang="en-US" sz="1100">
              <a:solidFill>
                <a:schemeClr val="dk1"/>
              </a:solidFill>
              <a:effectLst/>
              <a:latin typeface="+mn-lt"/>
              <a:ea typeface="+mn-ea"/>
              <a:cs typeface="+mn-cs"/>
            </a:rPr>
            <a:t>1-24.99% = 1 Point</a:t>
          </a:r>
        </a:p>
        <a:p>
          <a:r>
            <a:rPr lang="en-US" sz="1100">
              <a:solidFill>
                <a:schemeClr val="dk1"/>
              </a:solidFill>
              <a:effectLst/>
              <a:latin typeface="+mn-lt"/>
              <a:ea typeface="+mn-ea"/>
              <a:cs typeface="+mn-cs"/>
            </a:rPr>
            <a:t>Less than 1%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Obstetrics/Gynecology</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Greater than 50% = 5 Points</a:t>
          </a:r>
        </a:p>
        <a:p>
          <a:r>
            <a:rPr lang="en-US" sz="1100">
              <a:solidFill>
                <a:schemeClr val="dk1"/>
              </a:solidFill>
              <a:effectLst/>
              <a:latin typeface="+mn-lt"/>
              <a:ea typeface="+mn-ea"/>
              <a:cs typeface="+mn-cs"/>
            </a:rPr>
            <a:t>25-50% = 3 Points</a:t>
          </a:r>
        </a:p>
        <a:p>
          <a:r>
            <a:rPr lang="en-US" sz="1100">
              <a:solidFill>
                <a:schemeClr val="dk1"/>
              </a:solidFill>
              <a:effectLst/>
              <a:latin typeface="+mn-lt"/>
              <a:ea typeface="+mn-ea"/>
              <a:cs typeface="+mn-cs"/>
            </a:rPr>
            <a:t>1-24.99% = 1 Point</a:t>
          </a:r>
        </a:p>
        <a:p>
          <a:r>
            <a:rPr lang="en-US" sz="1100">
              <a:solidFill>
                <a:schemeClr val="dk1"/>
              </a:solidFill>
              <a:effectLst/>
              <a:latin typeface="+mn-lt"/>
              <a:ea typeface="+mn-ea"/>
              <a:cs typeface="+mn-cs"/>
            </a:rPr>
            <a:t>Less than 1%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Infectious Diseases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Greater than 50% = 5 Points</a:t>
          </a:r>
        </a:p>
        <a:p>
          <a:r>
            <a:rPr lang="en-US" sz="1100">
              <a:solidFill>
                <a:schemeClr val="dk1"/>
              </a:solidFill>
              <a:effectLst/>
              <a:latin typeface="+mn-lt"/>
              <a:ea typeface="+mn-ea"/>
              <a:cs typeface="+mn-cs"/>
            </a:rPr>
            <a:t>25-50% = 3 Points</a:t>
          </a:r>
        </a:p>
        <a:p>
          <a:r>
            <a:rPr lang="en-US" sz="1100">
              <a:solidFill>
                <a:schemeClr val="dk1"/>
              </a:solidFill>
              <a:effectLst/>
              <a:latin typeface="+mn-lt"/>
              <a:ea typeface="+mn-ea"/>
              <a:cs typeface="+mn-cs"/>
            </a:rPr>
            <a:t>1-24.99% = 1 Point</a:t>
          </a:r>
        </a:p>
        <a:p>
          <a:r>
            <a:rPr lang="en-US" sz="1100">
              <a:solidFill>
                <a:schemeClr val="dk1"/>
              </a:solidFill>
              <a:effectLst/>
              <a:latin typeface="+mn-lt"/>
              <a:ea typeface="+mn-ea"/>
              <a:cs typeface="+mn-cs"/>
            </a:rPr>
            <a:t>Less than 1%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Adult Psychiatrists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Greater than 50% = 5 Points</a:t>
          </a:r>
        </a:p>
        <a:p>
          <a:r>
            <a:rPr lang="en-US" sz="1100">
              <a:solidFill>
                <a:schemeClr val="dk1"/>
              </a:solidFill>
              <a:effectLst/>
              <a:latin typeface="+mn-lt"/>
              <a:ea typeface="+mn-ea"/>
              <a:cs typeface="+mn-cs"/>
            </a:rPr>
            <a:t>25-50% = 3 Points</a:t>
          </a:r>
        </a:p>
        <a:p>
          <a:r>
            <a:rPr lang="en-US" sz="1100">
              <a:solidFill>
                <a:schemeClr val="dk1"/>
              </a:solidFill>
              <a:effectLst/>
              <a:latin typeface="+mn-lt"/>
              <a:ea typeface="+mn-ea"/>
              <a:cs typeface="+mn-cs"/>
            </a:rPr>
            <a:t>1-24.99% = 1 Point</a:t>
          </a:r>
        </a:p>
        <a:p>
          <a:r>
            <a:rPr lang="en-US" sz="1100">
              <a:solidFill>
                <a:schemeClr val="dk1"/>
              </a:solidFill>
              <a:effectLst/>
              <a:latin typeface="+mn-lt"/>
              <a:ea typeface="+mn-ea"/>
              <a:cs typeface="+mn-cs"/>
            </a:rPr>
            <a:t>Less than 1% = 0 Points</a:t>
          </a:r>
        </a:p>
      </xdr:txBody>
    </xdr:sp>
    <xdr:clientData/>
  </xdr:twoCellAnchor>
  <xdr:twoCellAnchor>
    <xdr:from>
      <xdr:col>9</xdr:col>
      <xdr:colOff>57150</xdr:colOff>
      <xdr:row>2</xdr:row>
      <xdr:rowOff>66675</xdr:rowOff>
    </xdr:from>
    <xdr:to>
      <xdr:col>17</xdr:col>
      <xdr:colOff>533400</xdr:colOff>
      <xdr:row>44</xdr:row>
      <xdr:rowOff>114301</xdr:rowOff>
    </xdr:to>
    <xdr:sp macro="" textlink="">
      <xdr:nvSpPr>
        <xdr:cNvPr id="46" name="TextBox 2">
          <a:extLst>
            <a:ext uri="{FF2B5EF4-FFF2-40B4-BE49-F238E27FC236}">
              <a16:creationId xmlns:a16="http://schemas.microsoft.com/office/drawing/2014/main" id="{00000000-0008-0000-0F00-00002E000000}"/>
            </a:ext>
          </a:extLst>
        </xdr:cNvPr>
        <xdr:cNvSpPr txBox="1"/>
      </xdr:nvSpPr>
      <xdr:spPr>
        <a:xfrm>
          <a:off x="5972175" y="657225"/>
          <a:ext cx="5734050" cy="81248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Child Psychiatrists</a:t>
          </a:r>
          <a:endParaRPr lang="en-US">
            <a:effectLst/>
          </a:endParaRPr>
        </a:p>
        <a:p>
          <a:r>
            <a:rPr lang="en-US" sz="1100">
              <a:solidFill>
                <a:schemeClr val="dk1"/>
              </a:solidFill>
              <a:effectLst/>
              <a:latin typeface="+mn-lt"/>
              <a:ea typeface="+mn-ea"/>
              <a:cs typeface="+mn-cs"/>
            </a:rPr>
            <a:t>Greater than 50% = 5 Points</a:t>
          </a:r>
          <a:endParaRPr lang="en-US">
            <a:effectLst/>
          </a:endParaRPr>
        </a:p>
        <a:p>
          <a:r>
            <a:rPr lang="en-US" sz="1100">
              <a:solidFill>
                <a:schemeClr val="dk1"/>
              </a:solidFill>
              <a:effectLst/>
              <a:latin typeface="+mn-lt"/>
              <a:ea typeface="+mn-ea"/>
              <a:cs typeface="+mn-cs"/>
            </a:rPr>
            <a:t>25-50% = 3 Points</a:t>
          </a:r>
          <a:endParaRPr lang="en-US">
            <a:effectLst/>
          </a:endParaRPr>
        </a:p>
        <a:p>
          <a:r>
            <a:rPr lang="en-US" sz="1100">
              <a:solidFill>
                <a:schemeClr val="dk1"/>
              </a:solidFill>
              <a:effectLst/>
              <a:latin typeface="+mn-lt"/>
              <a:ea typeface="+mn-ea"/>
              <a:cs typeface="+mn-cs"/>
            </a:rPr>
            <a:t>1-24.99% = 1 Point</a:t>
          </a:r>
          <a:endParaRPr lang="en-US">
            <a:effectLst/>
          </a:endParaRPr>
        </a:p>
        <a:p>
          <a:r>
            <a:rPr lang="en-US" sz="1100">
              <a:solidFill>
                <a:schemeClr val="dk1"/>
              </a:solidFill>
              <a:effectLst/>
              <a:latin typeface="+mn-lt"/>
              <a:ea typeface="+mn-ea"/>
              <a:cs typeface="+mn-cs"/>
            </a:rPr>
            <a:t>Less than 1% = 0 Points</a:t>
          </a:r>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Percent of enrollees, separated by age groups, who had a signed agreement for participant direction option (PDO) services in their enrollee record:</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21 to 44 years of age</a:t>
          </a:r>
          <a:endParaRPr lang="en-US">
            <a:effectLst/>
          </a:endParaRPr>
        </a:p>
        <a:p>
          <a:r>
            <a:rPr lang="en-US" sz="1100">
              <a:solidFill>
                <a:schemeClr val="dk1"/>
              </a:solidFill>
              <a:effectLst/>
              <a:latin typeface="+mn-lt"/>
              <a:ea typeface="+mn-ea"/>
              <a:cs typeface="+mn-cs"/>
            </a:rPr>
            <a:t>10% or Higher= 5 Points</a:t>
          </a:r>
          <a:endParaRPr lang="en-US">
            <a:effectLst/>
          </a:endParaRPr>
        </a:p>
        <a:p>
          <a:r>
            <a:rPr lang="en-US" sz="1100">
              <a:solidFill>
                <a:schemeClr val="dk1"/>
              </a:solidFill>
              <a:effectLst/>
              <a:latin typeface="+mn-lt"/>
              <a:ea typeface="+mn-ea"/>
              <a:cs typeface="+mn-cs"/>
            </a:rPr>
            <a:t>5-9.99% = 3 Points</a:t>
          </a:r>
          <a:endParaRPr lang="en-US">
            <a:effectLst/>
          </a:endParaRPr>
        </a:p>
        <a:p>
          <a:r>
            <a:rPr lang="en-US" sz="1100">
              <a:solidFill>
                <a:schemeClr val="dk1"/>
              </a:solidFill>
              <a:effectLst/>
              <a:latin typeface="+mn-lt"/>
              <a:ea typeface="+mn-ea"/>
              <a:cs typeface="+mn-cs"/>
            </a:rPr>
            <a:t>1-4.99% = 1 Point</a:t>
          </a:r>
          <a:endParaRPr lang="en-US">
            <a:effectLst/>
          </a:endParaRPr>
        </a:p>
        <a:p>
          <a:r>
            <a:rPr lang="en-US" sz="1100">
              <a:solidFill>
                <a:schemeClr val="dk1"/>
              </a:solidFill>
              <a:effectLst/>
              <a:latin typeface="+mn-lt"/>
              <a:ea typeface="+mn-ea"/>
              <a:cs typeface="+mn-cs"/>
            </a:rPr>
            <a:t>Less than 1% = 0 Points</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45 years of age or older</a:t>
          </a:r>
          <a:endParaRPr lang="en-US">
            <a:effectLst/>
          </a:endParaRPr>
        </a:p>
        <a:p>
          <a:r>
            <a:rPr lang="en-US" sz="1100">
              <a:solidFill>
                <a:schemeClr val="dk1"/>
              </a:solidFill>
              <a:effectLst/>
              <a:latin typeface="+mn-lt"/>
              <a:ea typeface="+mn-ea"/>
              <a:cs typeface="+mn-cs"/>
            </a:rPr>
            <a:t>10% or Higher= 5 Points</a:t>
          </a:r>
          <a:endParaRPr lang="en-US">
            <a:effectLst/>
          </a:endParaRPr>
        </a:p>
        <a:p>
          <a:r>
            <a:rPr lang="en-US" sz="1100">
              <a:solidFill>
                <a:schemeClr val="dk1"/>
              </a:solidFill>
              <a:effectLst/>
              <a:latin typeface="+mn-lt"/>
              <a:ea typeface="+mn-ea"/>
              <a:cs typeface="+mn-cs"/>
            </a:rPr>
            <a:t>5-9.99% = 3 Points</a:t>
          </a:r>
          <a:endParaRPr lang="en-US">
            <a:effectLst/>
          </a:endParaRPr>
        </a:p>
        <a:p>
          <a:r>
            <a:rPr lang="en-US" sz="1100">
              <a:solidFill>
                <a:schemeClr val="dk1"/>
              </a:solidFill>
              <a:effectLst/>
              <a:latin typeface="+mn-lt"/>
              <a:ea typeface="+mn-ea"/>
              <a:cs typeface="+mn-cs"/>
            </a:rPr>
            <a:t>1-4.99% = 1 Point</a:t>
          </a:r>
          <a:endParaRPr lang="en-US">
            <a:effectLst/>
          </a:endParaRPr>
        </a:p>
        <a:p>
          <a:r>
            <a:rPr lang="en-US" sz="1100">
              <a:solidFill>
                <a:schemeClr val="dk1"/>
              </a:solidFill>
              <a:effectLst/>
              <a:latin typeface="+mn-lt"/>
              <a:ea typeface="+mn-ea"/>
              <a:cs typeface="+mn-cs"/>
            </a:rPr>
            <a:t>Less than 1% = 0 Points</a:t>
          </a:r>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Percent of enrollees that have had outpatient encounters with the same Primary Care Provider (Family Practice, Internal Medicine, Pediatrics, Obstetrics/Gynecology) at least two times in the last three years, with at least one outpatient visit in CY2019 and one outpatient visit in CY2021:</a:t>
          </a:r>
          <a:endParaRPr lang="en-US">
            <a:effectLst/>
          </a:endParaRPr>
        </a:p>
        <a:p>
          <a:r>
            <a:rPr lang="en-US" sz="1100">
              <a:solidFill>
                <a:schemeClr val="dk1"/>
              </a:solidFill>
              <a:effectLst/>
              <a:latin typeface="+mn-lt"/>
              <a:ea typeface="+mn-ea"/>
              <a:cs typeface="+mn-cs"/>
            </a:rPr>
            <a:t>Greater than 50% = 5 Points</a:t>
          </a:r>
          <a:endParaRPr lang="en-US">
            <a:effectLst/>
          </a:endParaRPr>
        </a:p>
        <a:p>
          <a:r>
            <a:rPr lang="en-US" sz="1100">
              <a:solidFill>
                <a:schemeClr val="dk1"/>
              </a:solidFill>
              <a:effectLst/>
              <a:latin typeface="+mn-lt"/>
              <a:ea typeface="+mn-ea"/>
              <a:cs typeface="+mn-cs"/>
            </a:rPr>
            <a:t>25-50% = 3 Points</a:t>
          </a:r>
          <a:endParaRPr lang="en-US">
            <a:effectLst/>
          </a:endParaRPr>
        </a:p>
        <a:p>
          <a:r>
            <a:rPr lang="en-US" sz="1100">
              <a:solidFill>
                <a:schemeClr val="dk1"/>
              </a:solidFill>
              <a:effectLst/>
              <a:latin typeface="+mn-lt"/>
              <a:ea typeface="+mn-ea"/>
              <a:cs typeface="+mn-cs"/>
            </a:rPr>
            <a:t>1-24.99% = 1 Point</a:t>
          </a:r>
          <a:endParaRPr lang="en-US">
            <a:effectLst/>
          </a:endParaRPr>
        </a:p>
        <a:p>
          <a:r>
            <a:rPr lang="en-US" sz="1100">
              <a:solidFill>
                <a:schemeClr val="dk1"/>
              </a:solidFill>
              <a:effectLst/>
              <a:latin typeface="+mn-lt"/>
              <a:ea typeface="+mn-ea"/>
              <a:cs typeface="+mn-cs"/>
            </a:rPr>
            <a:t>Less than 1% = 0 Points</a:t>
          </a:r>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Percent of physician specialists who practiced in a certified patient centered medical home (PCMH) at the time of application submission for the prospective contract:</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Family Practice</a:t>
          </a:r>
          <a:endParaRPr lang="en-US">
            <a:effectLst/>
          </a:endParaRPr>
        </a:p>
        <a:p>
          <a:r>
            <a:rPr lang="en-US" sz="1100">
              <a:solidFill>
                <a:schemeClr val="dk1"/>
              </a:solidFill>
              <a:effectLst/>
              <a:latin typeface="+mn-lt"/>
              <a:ea typeface="+mn-ea"/>
              <a:cs typeface="+mn-cs"/>
            </a:rPr>
            <a:t>Greater than 75% = 5 Points</a:t>
          </a:r>
          <a:endParaRPr lang="en-US">
            <a:effectLst/>
          </a:endParaRPr>
        </a:p>
        <a:p>
          <a:r>
            <a:rPr lang="en-US" sz="1100">
              <a:solidFill>
                <a:schemeClr val="dk1"/>
              </a:solidFill>
              <a:effectLst/>
              <a:latin typeface="+mn-lt"/>
              <a:ea typeface="+mn-ea"/>
              <a:cs typeface="+mn-cs"/>
            </a:rPr>
            <a:t>50-75% = 3 Points</a:t>
          </a:r>
          <a:endParaRPr lang="en-US">
            <a:effectLst/>
          </a:endParaRPr>
        </a:p>
        <a:p>
          <a:r>
            <a:rPr lang="en-US" sz="1100">
              <a:solidFill>
                <a:schemeClr val="dk1"/>
              </a:solidFill>
              <a:effectLst/>
              <a:latin typeface="+mn-lt"/>
              <a:ea typeface="+mn-ea"/>
              <a:cs typeface="+mn-cs"/>
            </a:rPr>
            <a:t>20-49.99% = 1 Point</a:t>
          </a:r>
          <a:endParaRPr lang="en-US">
            <a:effectLst/>
          </a:endParaRPr>
        </a:p>
        <a:p>
          <a:r>
            <a:rPr lang="en-US" sz="1100">
              <a:solidFill>
                <a:schemeClr val="dk1"/>
              </a:solidFill>
              <a:effectLst/>
              <a:latin typeface="+mn-lt"/>
              <a:ea typeface="+mn-ea"/>
              <a:cs typeface="+mn-cs"/>
            </a:rPr>
            <a:t>Less than 20% = 0 Points</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Internal Medicine</a:t>
          </a:r>
          <a:endParaRPr lang="en-US">
            <a:effectLst/>
          </a:endParaRPr>
        </a:p>
        <a:p>
          <a:r>
            <a:rPr lang="en-US" sz="1100">
              <a:solidFill>
                <a:schemeClr val="dk1"/>
              </a:solidFill>
              <a:effectLst/>
              <a:latin typeface="+mn-lt"/>
              <a:ea typeface="+mn-ea"/>
              <a:cs typeface="+mn-cs"/>
            </a:rPr>
            <a:t>Greater than 75% = 5 Points</a:t>
          </a:r>
          <a:endParaRPr lang="en-US">
            <a:effectLst/>
          </a:endParaRPr>
        </a:p>
        <a:p>
          <a:r>
            <a:rPr lang="en-US" sz="1100">
              <a:solidFill>
                <a:schemeClr val="dk1"/>
              </a:solidFill>
              <a:effectLst/>
              <a:latin typeface="+mn-lt"/>
              <a:ea typeface="+mn-ea"/>
              <a:cs typeface="+mn-cs"/>
            </a:rPr>
            <a:t>50-75% = 3 Points</a:t>
          </a:r>
          <a:endParaRPr lang="en-US">
            <a:effectLst/>
          </a:endParaRPr>
        </a:p>
        <a:p>
          <a:r>
            <a:rPr lang="en-US" sz="1100">
              <a:solidFill>
                <a:schemeClr val="dk1"/>
              </a:solidFill>
              <a:effectLst/>
              <a:latin typeface="+mn-lt"/>
              <a:ea typeface="+mn-ea"/>
              <a:cs typeface="+mn-cs"/>
            </a:rPr>
            <a:t>20-49.99% = 1 Point</a:t>
          </a:r>
          <a:endParaRPr lang="en-US">
            <a:effectLst/>
          </a:endParaRPr>
        </a:p>
        <a:p>
          <a:r>
            <a:rPr lang="en-US" sz="1100">
              <a:solidFill>
                <a:schemeClr val="dk1"/>
              </a:solidFill>
              <a:effectLst/>
              <a:latin typeface="+mn-lt"/>
              <a:ea typeface="+mn-ea"/>
              <a:cs typeface="+mn-cs"/>
            </a:rPr>
            <a:t>Less than 20% = 0 Points</a:t>
          </a:r>
          <a:endParaRPr lang="en-US">
            <a:effectLst/>
          </a:endParaRPr>
        </a:p>
        <a:p>
          <a:r>
            <a:rPr lang="en-US" sz="1100">
              <a:solidFill>
                <a:schemeClr val="dk1"/>
              </a:solidFill>
              <a:effectLst/>
              <a:latin typeface="+mn-lt"/>
              <a:ea typeface="+mn-ea"/>
              <a:cs typeface="+mn-cs"/>
            </a:rPr>
            <a:t> </a:t>
          </a:r>
          <a:endParaRPr lang="en-US">
            <a:effectLst/>
          </a:endParaRPr>
        </a:p>
        <a:p>
          <a:endParaRPr lang="en-US">
            <a:effectLst/>
          </a:endParaRPr>
        </a:p>
      </xdr:txBody>
    </xdr:sp>
    <xdr:clientData/>
  </xdr:twoCellAnchor>
  <xdr:twoCellAnchor>
    <xdr:from>
      <xdr:col>18</xdr:col>
      <xdr:colOff>66675</xdr:colOff>
      <xdr:row>2</xdr:row>
      <xdr:rowOff>47624</xdr:rowOff>
    </xdr:from>
    <xdr:to>
      <xdr:col>26</xdr:col>
      <xdr:colOff>542925</xdr:colOff>
      <xdr:row>44</xdr:row>
      <xdr:rowOff>114299</xdr:rowOff>
    </xdr:to>
    <xdr:sp macro="" textlink="">
      <xdr:nvSpPr>
        <xdr:cNvPr id="59" name="TextBox 3">
          <a:extLst>
            <a:ext uri="{FF2B5EF4-FFF2-40B4-BE49-F238E27FC236}">
              <a16:creationId xmlns:a16="http://schemas.microsoft.com/office/drawing/2014/main" id="{00000000-0008-0000-0F00-00003B000000}"/>
            </a:ext>
          </a:extLst>
        </xdr:cNvPr>
        <xdr:cNvSpPr txBox="1"/>
      </xdr:nvSpPr>
      <xdr:spPr>
        <a:xfrm>
          <a:off x="11039475" y="638174"/>
          <a:ext cx="5353050" cy="806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Pediatrics</a:t>
          </a:r>
          <a:r>
            <a:rPr lang="en-US" sz="1100">
              <a:solidFill>
                <a:schemeClr val="dk1"/>
              </a:solidFill>
              <a:effectLst/>
              <a:latin typeface="+mn-lt"/>
              <a:ea typeface="+mn-ea"/>
              <a:cs typeface="+mn-cs"/>
            </a:rPr>
            <a:t> (including Adolescent Medicine)</a:t>
          </a:r>
          <a:endParaRPr lang="en-US">
            <a:effectLst/>
          </a:endParaRPr>
        </a:p>
        <a:p>
          <a:r>
            <a:rPr lang="en-US" sz="1100">
              <a:solidFill>
                <a:schemeClr val="dk1"/>
              </a:solidFill>
              <a:effectLst/>
              <a:latin typeface="+mn-lt"/>
              <a:ea typeface="+mn-ea"/>
              <a:cs typeface="+mn-cs"/>
            </a:rPr>
            <a:t>Greater than 75% = 5 Points</a:t>
          </a:r>
          <a:endParaRPr lang="en-US">
            <a:effectLst/>
          </a:endParaRPr>
        </a:p>
        <a:p>
          <a:r>
            <a:rPr lang="en-US" sz="1100">
              <a:solidFill>
                <a:schemeClr val="dk1"/>
              </a:solidFill>
              <a:effectLst/>
              <a:latin typeface="+mn-lt"/>
              <a:ea typeface="+mn-ea"/>
              <a:cs typeface="+mn-cs"/>
            </a:rPr>
            <a:t>50-75% = 3 Points</a:t>
          </a:r>
          <a:endParaRPr lang="en-US">
            <a:effectLst/>
          </a:endParaRPr>
        </a:p>
        <a:p>
          <a:r>
            <a:rPr lang="en-US" sz="1100">
              <a:solidFill>
                <a:schemeClr val="dk1"/>
              </a:solidFill>
              <a:effectLst/>
              <a:latin typeface="+mn-lt"/>
              <a:ea typeface="+mn-ea"/>
              <a:cs typeface="+mn-cs"/>
            </a:rPr>
            <a:t>20-49.99% = 1 Point</a:t>
          </a:r>
          <a:endParaRPr lang="en-US">
            <a:effectLst/>
          </a:endParaRPr>
        </a:p>
        <a:p>
          <a:r>
            <a:rPr lang="en-US" sz="1100">
              <a:solidFill>
                <a:schemeClr val="dk1"/>
              </a:solidFill>
              <a:effectLst/>
              <a:latin typeface="+mn-lt"/>
              <a:ea typeface="+mn-ea"/>
              <a:cs typeface="+mn-cs"/>
            </a:rPr>
            <a:t>Less than 20% = 0 Points</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Obstetrics/Gynecology</a:t>
          </a:r>
          <a:endParaRPr lang="en-US">
            <a:effectLst/>
          </a:endParaRPr>
        </a:p>
        <a:p>
          <a:r>
            <a:rPr lang="en-US" sz="1100">
              <a:solidFill>
                <a:schemeClr val="dk1"/>
              </a:solidFill>
              <a:effectLst/>
              <a:latin typeface="+mn-lt"/>
              <a:ea typeface="+mn-ea"/>
              <a:cs typeface="+mn-cs"/>
            </a:rPr>
            <a:t>Greater than 75% = 5 Points</a:t>
          </a:r>
          <a:endParaRPr lang="en-US">
            <a:effectLst/>
          </a:endParaRPr>
        </a:p>
        <a:p>
          <a:r>
            <a:rPr lang="en-US" sz="1100">
              <a:solidFill>
                <a:schemeClr val="dk1"/>
              </a:solidFill>
              <a:effectLst/>
              <a:latin typeface="+mn-lt"/>
              <a:ea typeface="+mn-ea"/>
              <a:cs typeface="+mn-cs"/>
            </a:rPr>
            <a:t>50-75% = 3 Points</a:t>
          </a:r>
          <a:endParaRPr lang="en-US">
            <a:effectLst/>
          </a:endParaRPr>
        </a:p>
        <a:p>
          <a:r>
            <a:rPr lang="en-US" sz="1100">
              <a:solidFill>
                <a:schemeClr val="dk1"/>
              </a:solidFill>
              <a:effectLst/>
              <a:latin typeface="+mn-lt"/>
              <a:ea typeface="+mn-ea"/>
              <a:cs typeface="+mn-cs"/>
            </a:rPr>
            <a:t>20-49.99% = 1 Point</a:t>
          </a:r>
          <a:endParaRPr lang="en-US">
            <a:effectLst/>
          </a:endParaRPr>
        </a:p>
        <a:p>
          <a:r>
            <a:rPr lang="en-US" sz="1100">
              <a:solidFill>
                <a:schemeClr val="dk1"/>
              </a:solidFill>
              <a:effectLst/>
              <a:latin typeface="+mn-lt"/>
              <a:ea typeface="+mn-ea"/>
              <a:cs typeface="+mn-cs"/>
            </a:rPr>
            <a:t>Less than 20% = 0 Points</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Infectious Diseases</a:t>
          </a:r>
          <a:endParaRPr lang="en-US">
            <a:effectLst/>
          </a:endParaRPr>
        </a:p>
        <a:p>
          <a:r>
            <a:rPr lang="en-US" sz="1100">
              <a:solidFill>
                <a:schemeClr val="dk1"/>
              </a:solidFill>
              <a:effectLst/>
              <a:latin typeface="+mn-lt"/>
              <a:ea typeface="+mn-ea"/>
              <a:cs typeface="+mn-cs"/>
            </a:rPr>
            <a:t>Greater than 75% = 5 Points</a:t>
          </a:r>
          <a:endParaRPr lang="en-US">
            <a:effectLst/>
          </a:endParaRPr>
        </a:p>
        <a:p>
          <a:r>
            <a:rPr lang="en-US" sz="1100">
              <a:solidFill>
                <a:schemeClr val="dk1"/>
              </a:solidFill>
              <a:effectLst/>
              <a:latin typeface="+mn-lt"/>
              <a:ea typeface="+mn-ea"/>
              <a:cs typeface="+mn-cs"/>
            </a:rPr>
            <a:t>50-75% = 3 Points</a:t>
          </a:r>
          <a:endParaRPr lang="en-US">
            <a:effectLst/>
          </a:endParaRPr>
        </a:p>
        <a:p>
          <a:r>
            <a:rPr lang="en-US" sz="1100">
              <a:solidFill>
                <a:schemeClr val="dk1"/>
              </a:solidFill>
              <a:effectLst/>
              <a:latin typeface="+mn-lt"/>
              <a:ea typeface="+mn-ea"/>
              <a:cs typeface="+mn-cs"/>
            </a:rPr>
            <a:t>20-49.99% = 1 Point</a:t>
          </a:r>
          <a:endParaRPr lang="en-US">
            <a:effectLst/>
          </a:endParaRPr>
        </a:p>
        <a:p>
          <a:r>
            <a:rPr lang="en-US" sz="1100">
              <a:solidFill>
                <a:schemeClr val="dk1"/>
              </a:solidFill>
              <a:effectLst/>
              <a:latin typeface="+mn-lt"/>
              <a:ea typeface="+mn-ea"/>
              <a:cs typeface="+mn-cs"/>
            </a:rPr>
            <a:t>Less than 20% = 0 Points</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Adult Psychiatrists</a:t>
          </a:r>
          <a:endParaRPr lang="en-US">
            <a:effectLst/>
          </a:endParaRPr>
        </a:p>
        <a:p>
          <a:r>
            <a:rPr lang="en-US" sz="1100">
              <a:solidFill>
                <a:schemeClr val="dk1"/>
              </a:solidFill>
              <a:effectLst/>
              <a:latin typeface="+mn-lt"/>
              <a:ea typeface="+mn-ea"/>
              <a:cs typeface="+mn-cs"/>
            </a:rPr>
            <a:t>Greater than 75% = 5 Points</a:t>
          </a:r>
          <a:endParaRPr lang="en-US">
            <a:effectLst/>
          </a:endParaRPr>
        </a:p>
        <a:p>
          <a:r>
            <a:rPr lang="en-US" sz="1100">
              <a:solidFill>
                <a:schemeClr val="dk1"/>
              </a:solidFill>
              <a:effectLst/>
              <a:latin typeface="+mn-lt"/>
              <a:ea typeface="+mn-ea"/>
              <a:cs typeface="+mn-cs"/>
            </a:rPr>
            <a:t>50-75% = 3 Points</a:t>
          </a:r>
          <a:endParaRPr lang="en-US">
            <a:effectLst/>
          </a:endParaRPr>
        </a:p>
        <a:p>
          <a:r>
            <a:rPr lang="en-US" sz="1100">
              <a:solidFill>
                <a:schemeClr val="dk1"/>
              </a:solidFill>
              <a:effectLst/>
              <a:latin typeface="+mn-lt"/>
              <a:ea typeface="+mn-ea"/>
              <a:cs typeface="+mn-cs"/>
            </a:rPr>
            <a:t>20-49.99% = 1 Point</a:t>
          </a:r>
          <a:endParaRPr lang="en-US">
            <a:effectLst/>
          </a:endParaRPr>
        </a:p>
        <a:p>
          <a:r>
            <a:rPr lang="en-US" sz="1100">
              <a:solidFill>
                <a:schemeClr val="dk1"/>
              </a:solidFill>
              <a:effectLst/>
              <a:latin typeface="+mn-lt"/>
              <a:ea typeface="+mn-ea"/>
              <a:cs typeface="+mn-cs"/>
            </a:rPr>
            <a:t>Less than 20% = 0 Points</a:t>
          </a:r>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Child Psychiatrists</a:t>
          </a:r>
          <a:endParaRPr lang="en-US">
            <a:effectLst/>
          </a:endParaRPr>
        </a:p>
        <a:p>
          <a:r>
            <a:rPr lang="en-US" sz="1100">
              <a:solidFill>
                <a:schemeClr val="dk1"/>
              </a:solidFill>
              <a:effectLst/>
              <a:latin typeface="+mn-lt"/>
              <a:ea typeface="+mn-ea"/>
              <a:cs typeface="+mn-cs"/>
            </a:rPr>
            <a:t>Greater than 75% = 5 Points</a:t>
          </a:r>
          <a:endParaRPr lang="en-US">
            <a:effectLst/>
          </a:endParaRPr>
        </a:p>
        <a:p>
          <a:r>
            <a:rPr lang="en-US" sz="1100">
              <a:solidFill>
                <a:schemeClr val="dk1"/>
              </a:solidFill>
              <a:effectLst/>
              <a:latin typeface="+mn-lt"/>
              <a:ea typeface="+mn-ea"/>
              <a:cs typeface="+mn-cs"/>
            </a:rPr>
            <a:t>50-75% = 3 Points</a:t>
          </a:r>
          <a:endParaRPr lang="en-US">
            <a:effectLst/>
          </a:endParaRPr>
        </a:p>
        <a:p>
          <a:r>
            <a:rPr lang="en-US" sz="1100">
              <a:solidFill>
                <a:schemeClr val="dk1"/>
              </a:solidFill>
              <a:effectLst/>
              <a:latin typeface="+mn-lt"/>
              <a:ea typeface="+mn-ea"/>
              <a:cs typeface="+mn-cs"/>
            </a:rPr>
            <a:t>20-49.99% = 1 Point</a:t>
          </a:r>
          <a:endParaRPr lang="en-US">
            <a:effectLst/>
          </a:endParaRPr>
        </a:p>
        <a:p>
          <a:r>
            <a:rPr lang="en-US" sz="1100">
              <a:solidFill>
                <a:schemeClr val="dk1"/>
              </a:solidFill>
              <a:effectLst/>
              <a:latin typeface="+mn-lt"/>
              <a:ea typeface="+mn-ea"/>
              <a:cs typeface="+mn-cs"/>
            </a:rPr>
            <a:t>Less than 20% = 0 Points</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Each contracted children’s hospital at</a:t>
          </a:r>
          <a:r>
            <a:rPr lang="en-US" sz="1100" b="1" baseline="0">
              <a:solidFill>
                <a:schemeClr val="dk1"/>
              </a:solidFill>
              <a:effectLst/>
              <a:latin typeface="+mn-lt"/>
              <a:ea typeface="+mn-ea"/>
              <a:cs typeface="+mn-cs"/>
            </a:rPr>
            <a:t> the time of response submission</a:t>
          </a:r>
          <a:r>
            <a:rPr lang="en-US" sz="1100">
              <a:solidFill>
                <a:schemeClr val="dk1"/>
              </a:solidFill>
              <a:effectLst/>
              <a:latin typeface="+mn-lt"/>
              <a:ea typeface="+mn-ea"/>
              <a:cs typeface="+mn-cs"/>
            </a:rPr>
            <a:t> = 1 Point</a:t>
          </a:r>
          <a:endParaRPr lang="en-US">
            <a:effectLst/>
          </a:endParaRPr>
        </a:p>
        <a:p>
          <a:r>
            <a:rPr lang="en-US" sz="1100">
              <a:solidFill>
                <a:schemeClr val="dk1"/>
              </a:solidFill>
              <a:effectLst/>
              <a:latin typeface="+mn-lt"/>
              <a:ea typeface="+mn-ea"/>
              <a:cs typeface="+mn-cs"/>
            </a:rPr>
            <a:t>(See next</a:t>
          </a:r>
          <a:r>
            <a:rPr lang="en-US" sz="1100" baseline="0">
              <a:solidFill>
                <a:schemeClr val="dk1"/>
              </a:solidFill>
              <a:effectLst/>
              <a:latin typeface="+mn-lt"/>
              <a:ea typeface="+mn-ea"/>
              <a:cs typeface="+mn-cs"/>
            </a:rPr>
            <a:t> page</a:t>
          </a:r>
          <a:r>
            <a:rPr lang="en-US" sz="1100">
              <a:solidFill>
                <a:schemeClr val="dk1"/>
              </a:solidFill>
              <a:effectLst/>
              <a:latin typeface="+mn-lt"/>
              <a:ea typeface="+mn-ea"/>
              <a:cs typeface="+mn-cs"/>
            </a:rPr>
            <a:t> for a List</a:t>
          </a:r>
          <a:r>
            <a:rPr lang="en-US" sz="1100" baseline="0">
              <a:solidFill>
                <a:schemeClr val="dk1"/>
              </a:solidFill>
              <a:effectLst/>
              <a:latin typeface="+mn-lt"/>
              <a:ea typeface="+mn-ea"/>
              <a:cs typeface="+mn-cs"/>
            </a:rPr>
            <a:t> of Applicable Children's Hospitals in Florida)</a:t>
          </a:r>
          <a:endParaRPr lang="en-US">
            <a:effectLst/>
          </a:endParaRPr>
        </a:p>
        <a:p>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The total number of points is the sum of all individual points earned for all three contracts.</a:t>
          </a:r>
          <a:endParaRPr lang="en-US">
            <a:effectLst/>
          </a:endParaRPr>
        </a:p>
        <a:p>
          <a:r>
            <a:rPr lang="en-US" sz="1100" b="1">
              <a:solidFill>
                <a:schemeClr val="dk1"/>
              </a:solidFill>
              <a:effectLst/>
              <a:latin typeface="+mn-lt"/>
              <a:ea typeface="+mn-ea"/>
              <a:cs typeface="+mn-cs"/>
            </a:rPr>
            <a:t>The total earned points possible is 200.</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The maximum Final Score Possible is 300.</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The Final Score is calculated by multiplying the percentage of total points earned out of total points possible by the maximum Final Score Possible.</a:t>
          </a:r>
          <a:endParaRPr lang="en-US">
            <a:effectLst/>
          </a:endParaRPr>
        </a:p>
      </xdr:txBody>
    </xdr:sp>
    <xdr:clientData/>
  </xdr:twoCellAnchor>
  <xdr:twoCellAnchor>
    <xdr:from>
      <xdr:col>27</xdr:col>
      <xdr:colOff>66675</xdr:colOff>
      <xdr:row>2</xdr:row>
      <xdr:rowOff>57150</xdr:rowOff>
    </xdr:from>
    <xdr:to>
      <xdr:col>35</xdr:col>
      <xdr:colOff>542925</xdr:colOff>
      <xdr:row>17</xdr:row>
      <xdr:rowOff>19049</xdr:rowOff>
    </xdr:to>
    <xdr:sp macro="" textlink="">
      <xdr:nvSpPr>
        <xdr:cNvPr id="5" name="TextBox 4">
          <a:extLst>
            <a:ext uri="{FF2B5EF4-FFF2-40B4-BE49-F238E27FC236}">
              <a16:creationId xmlns:a16="http://schemas.microsoft.com/office/drawing/2014/main" id="{00000000-0008-0000-0F00-000005000000}"/>
            </a:ext>
          </a:extLst>
        </xdr:cNvPr>
        <xdr:cNvSpPr txBox="1"/>
      </xdr:nvSpPr>
      <xdr:spPr>
        <a:xfrm>
          <a:off x="17811750" y="647700"/>
          <a:ext cx="5734050" cy="2895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List of</a:t>
          </a:r>
          <a:r>
            <a:rPr lang="en-US" sz="1100" b="1" baseline="0">
              <a:solidFill>
                <a:schemeClr val="dk1"/>
              </a:solidFill>
              <a:effectLst/>
              <a:latin typeface="+mn-lt"/>
              <a:ea typeface="+mn-ea"/>
              <a:cs typeface="+mn-cs"/>
            </a:rPr>
            <a:t> Applicable Children's Hospitals in Florida</a:t>
          </a:r>
          <a:endParaRPr lang="en-US" b="1">
            <a:effectLst/>
          </a:endParaRPr>
        </a:p>
        <a:p>
          <a:r>
            <a:rPr lang="en-US" sz="1100">
              <a:solidFill>
                <a:schemeClr val="dk1"/>
              </a:solidFill>
              <a:effectLst/>
              <a:latin typeface="+mn-lt"/>
              <a:ea typeface="+mn-ea"/>
              <a:cs typeface="+mn-cs"/>
            </a:rPr>
            <a:t>1. John's Hopkins All Children's Hospital in St. Petersburg</a:t>
          </a:r>
          <a:endParaRPr lang="en-US">
            <a:effectLst/>
          </a:endParaRPr>
        </a:p>
        <a:p>
          <a:r>
            <a:rPr lang="en-US" sz="1100">
              <a:solidFill>
                <a:schemeClr val="dk1"/>
              </a:solidFill>
              <a:effectLst/>
              <a:latin typeface="+mn-lt"/>
              <a:ea typeface="+mn-ea"/>
              <a:cs typeface="+mn-cs"/>
            </a:rPr>
            <a:t>2. Nemours Children's Hospital in Orlando</a:t>
          </a:r>
          <a:endParaRPr lang="en-US">
            <a:effectLst/>
          </a:endParaRPr>
        </a:p>
        <a:p>
          <a:r>
            <a:rPr lang="en-US" sz="1100">
              <a:solidFill>
                <a:schemeClr val="dk1"/>
              </a:solidFill>
              <a:effectLst/>
              <a:latin typeface="+mn-lt"/>
              <a:ea typeface="+mn-ea"/>
              <a:cs typeface="+mn-cs"/>
            </a:rPr>
            <a:t>3. Nicklaus Children's Hospital in Miami</a:t>
          </a:r>
          <a:endParaRPr lang="en-US">
            <a:effectLst/>
          </a:endParaRPr>
        </a:p>
        <a:p>
          <a:r>
            <a:rPr lang="en-US" sz="1100">
              <a:solidFill>
                <a:schemeClr val="dk1"/>
              </a:solidFill>
              <a:effectLst/>
              <a:latin typeface="+mn-lt"/>
              <a:ea typeface="+mn-ea"/>
              <a:cs typeface="+mn-cs"/>
            </a:rPr>
            <a:t>4. Wolfson Children's Hospital in Jacksonville</a:t>
          </a:r>
          <a:endParaRPr lang="en-US">
            <a:effectLst/>
          </a:endParaRPr>
        </a:p>
        <a:p>
          <a:r>
            <a:rPr lang="en-US" sz="1100">
              <a:solidFill>
                <a:schemeClr val="dk1"/>
              </a:solidFill>
              <a:effectLst/>
              <a:latin typeface="+mn-lt"/>
              <a:ea typeface="+mn-ea"/>
              <a:cs typeface="+mn-cs"/>
            </a:rPr>
            <a:t>5.</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Arnold Palmer Hospital for Children in Orlando</a:t>
          </a:r>
          <a:endParaRPr lang="en-US">
            <a:effectLst/>
          </a:endParaRPr>
        </a:p>
        <a:p>
          <a:r>
            <a:rPr lang="en-US" sz="1100">
              <a:solidFill>
                <a:schemeClr val="dk1"/>
              </a:solidFill>
              <a:effectLst/>
              <a:latin typeface="+mn-lt"/>
              <a:ea typeface="+mn-ea"/>
              <a:cs typeface="+mn-cs"/>
            </a:rPr>
            <a:t>6. Florida Hospital for Children in Orlando</a:t>
          </a:r>
          <a:endParaRPr lang="en-US">
            <a:effectLst/>
          </a:endParaRPr>
        </a:p>
        <a:p>
          <a:r>
            <a:rPr lang="en-US" sz="1100">
              <a:solidFill>
                <a:schemeClr val="dk1"/>
              </a:solidFill>
              <a:effectLst/>
              <a:latin typeface="+mn-lt"/>
              <a:ea typeface="+mn-ea"/>
              <a:cs typeface="+mn-cs"/>
            </a:rPr>
            <a:t>7. Joe DiMaggio Children's Hospital in Hollywood</a:t>
          </a:r>
          <a:endParaRPr lang="en-US">
            <a:effectLst/>
          </a:endParaRPr>
        </a:p>
        <a:p>
          <a:r>
            <a:rPr lang="en-US" sz="1100">
              <a:solidFill>
                <a:schemeClr val="dk1"/>
              </a:solidFill>
              <a:effectLst/>
              <a:latin typeface="+mn-lt"/>
              <a:ea typeface="+mn-ea"/>
              <a:cs typeface="+mn-cs"/>
            </a:rPr>
            <a:t>8. St. Joseph's Children's Hospital in Tampa</a:t>
          </a:r>
          <a:endParaRPr lang="en-US">
            <a:effectLst/>
          </a:endParaRPr>
        </a:p>
        <a:p>
          <a:r>
            <a:rPr lang="en-US" sz="1100">
              <a:solidFill>
                <a:schemeClr val="dk1"/>
              </a:solidFill>
              <a:effectLst/>
              <a:latin typeface="+mn-lt"/>
              <a:ea typeface="+mn-ea"/>
              <a:cs typeface="+mn-cs"/>
            </a:rPr>
            <a:t>9. UF Health Shands Children's Hospital</a:t>
          </a:r>
          <a:endParaRPr lang="en-US">
            <a:effectLst/>
          </a:endParaRPr>
        </a:p>
        <a:p>
          <a:r>
            <a:rPr lang="en-US" sz="1100">
              <a:solidFill>
                <a:schemeClr val="dk1"/>
              </a:solidFill>
              <a:effectLst/>
              <a:latin typeface="+mn-lt"/>
              <a:ea typeface="+mn-ea"/>
              <a:cs typeface="+mn-cs"/>
            </a:rPr>
            <a:t>10. University of Miami Holtz Children's Hospital of Miami</a:t>
          </a:r>
          <a:endParaRPr lang="en-US">
            <a:effectLst/>
          </a:endParaRPr>
        </a:p>
        <a:p>
          <a:r>
            <a:rPr lang="en-US" sz="1100">
              <a:solidFill>
                <a:schemeClr val="dk1"/>
              </a:solidFill>
              <a:effectLst/>
              <a:latin typeface="+mn-lt"/>
              <a:ea typeface="+mn-ea"/>
              <a:cs typeface="+mn-cs"/>
            </a:rPr>
            <a:t>11. Children's Medical Center at Tampa General Hospital</a:t>
          </a:r>
          <a:endParaRPr lang="en-US">
            <a:effectLst/>
          </a:endParaRPr>
        </a:p>
        <a:p>
          <a:r>
            <a:rPr lang="en-US" sz="1100">
              <a:solidFill>
                <a:schemeClr val="dk1"/>
              </a:solidFill>
              <a:effectLst/>
              <a:latin typeface="+mn-lt"/>
              <a:ea typeface="+mn-ea"/>
              <a:cs typeface="+mn-cs"/>
            </a:rPr>
            <a:t>12. Golisano Children's Hospital of Southwest Florida</a:t>
          </a:r>
          <a:endParaRPr lang="en-US">
            <a:effectLst/>
          </a:endParaRPr>
        </a:p>
        <a:p>
          <a:r>
            <a:rPr lang="en-US" sz="1100">
              <a:solidFill>
                <a:schemeClr val="dk1"/>
              </a:solidFill>
              <a:effectLst/>
              <a:latin typeface="+mn-lt"/>
              <a:ea typeface="+mn-ea"/>
              <a:cs typeface="+mn-cs"/>
            </a:rPr>
            <a:t>13. Palm Beach Children's Hospital at St. Mary's Medical Center</a:t>
          </a:r>
          <a:endParaRPr lang="en-US">
            <a:effectLst/>
          </a:endParaRPr>
        </a:p>
        <a:p>
          <a:r>
            <a:rPr lang="en-US" sz="1100">
              <a:solidFill>
                <a:schemeClr val="dk1"/>
              </a:solidFill>
              <a:effectLst/>
              <a:latin typeface="+mn-lt"/>
              <a:ea typeface="+mn-ea"/>
              <a:cs typeface="+mn-cs"/>
            </a:rPr>
            <a:t>14. Salah Foundation Children's Hospital</a:t>
          </a:r>
          <a:endParaRPr lang="en-US">
            <a:effectLst/>
          </a:endParaRPr>
        </a:p>
        <a:p>
          <a:r>
            <a:rPr lang="en-US" sz="1100">
              <a:solidFill>
                <a:schemeClr val="dk1"/>
              </a:solidFill>
              <a:effectLst/>
              <a:latin typeface="+mn-lt"/>
              <a:ea typeface="+mn-ea"/>
              <a:cs typeface="+mn-cs"/>
            </a:rPr>
            <a:t>15. Studer Family Children's Hospital</a:t>
          </a:r>
          <a:endParaRPr lang="en-US">
            <a:effectLst/>
          </a:endParaRPr>
        </a:p>
        <a:p>
          <a:endParaRPr lang="en-US">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57152</xdr:colOff>
      <xdr:row>4</xdr:row>
      <xdr:rowOff>9524</xdr:rowOff>
    </xdr:from>
    <xdr:to>
      <xdr:col>8</xdr:col>
      <xdr:colOff>1038226</xdr:colOff>
      <xdr:row>43</xdr:row>
      <xdr:rowOff>76200</xdr:rowOff>
    </xdr:to>
    <xdr:sp macro="" textlink="">
      <xdr:nvSpPr>
        <xdr:cNvPr id="14" name="TextBox 1">
          <a:extLst>
            <a:ext uri="{FF2B5EF4-FFF2-40B4-BE49-F238E27FC236}">
              <a16:creationId xmlns:a16="http://schemas.microsoft.com/office/drawing/2014/main" id="{00000000-0008-0000-1100-00000E000000}"/>
            </a:ext>
          </a:extLst>
        </xdr:cNvPr>
        <xdr:cNvSpPr txBox="1"/>
      </xdr:nvSpPr>
      <xdr:spPr>
        <a:xfrm>
          <a:off x="57152" y="876299"/>
          <a:ext cx="5857874" cy="7496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Scoring will be designated based upon the following criteria: </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For Proposed Provider Network</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Item 1a</a:t>
          </a:r>
          <a:r>
            <a:rPr lang="en-US" sz="1100">
              <a:solidFill>
                <a:schemeClr val="dk1"/>
              </a:solidFill>
              <a:effectLst/>
              <a:latin typeface="+mn-lt"/>
              <a:ea typeface="+mn-ea"/>
              <a:cs typeface="+mn-cs"/>
            </a:rPr>
            <a:t>: All Primary Care Providers (PCPs) who have the following Medicaid-provider-enrolled providers available within the building of their medical practice:</a:t>
          </a:r>
        </a:p>
        <a:p>
          <a:r>
            <a:rPr lang="en-US" sz="1100" b="1">
              <a:solidFill>
                <a:schemeClr val="dk1"/>
              </a:solidFill>
              <a:effectLst/>
              <a:latin typeface="+mn-lt"/>
              <a:ea typeface="+mn-ea"/>
              <a:cs typeface="+mn-cs"/>
            </a:rPr>
            <a:t>Psychiatrist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50% or greater = 5 Points</a:t>
          </a:r>
        </a:p>
        <a:p>
          <a:r>
            <a:rPr lang="en-US" sz="1100">
              <a:solidFill>
                <a:schemeClr val="dk1"/>
              </a:solidFill>
              <a:effectLst/>
              <a:latin typeface="+mn-lt"/>
              <a:ea typeface="+mn-ea"/>
              <a:cs typeface="+mn-cs"/>
            </a:rPr>
            <a:t>33-49.99% = 3 Points</a:t>
          </a:r>
        </a:p>
        <a:p>
          <a:r>
            <a:rPr lang="en-US" sz="1100">
              <a:solidFill>
                <a:schemeClr val="dk1"/>
              </a:solidFill>
              <a:effectLst/>
              <a:latin typeface="+mn-lt"/>
              <a:ea typeface="+mn-ea"/>
              <a:cs typeface="+mn-cs"/>
            </a:rPr>
            <a:t>15-32.99% = 1 Point</a:t>
          </a:r>
        </a:p>
        <a:p>
          <a:r>
            <a:rPr lang="en-US" sz="1100">
              <a:solidFill>
                <a:schemeClr val="dk1"/>
              </a:solidFill>
              <a:effectLst/>
              <a:latin typeface="+mn-lt"/>
              <a:ea typeface="+mn-ea"/>
              <a:cs typeface="+mn-cs"/>
            </a:rPr>
            <a:t>Less than 15%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Psychologist</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50% or greater = 5 Points</a:t>
          </a:r>
        </a:p>
        <a:p>
          <a:r>
            <a:rPr lang="en-US" sz="1100">
              <a:solidFill>
                <a:schemeClr val="dk1"/>
              </a:solidFill>
              <a:effectLst/>
              <a:latin typeface="+mn-lt"/>
              <a:ea typeface="+mn-ea"/>
              <a:cs typeface="+mn-cs"/>
            </a:rPr>
            <a:t>33-49.99% = 3 Points</a:t>
          </a:r>
        </a:p>
        <a:p>
          <a:r>
            <a:rPr lang="en-US" sz="1100">
              <a:solidFill>
                <a:schemeClr val="dk1"/>
              </a:solidFill>
              <a:effectLst/>
              <a:latin typeface="+mn-lt"/>
              <a:ea typeface="+mn-ea"/>
              <a:cs typeface="+mn-cs"/>
            </a:rPr>
            <a:t>15-32.99% = 1 Point</a:t>
          </a:r>
        </a:p>
        <a:p>
          <a:r>
            <a:rPr lang="en-US" sz="1100">
              <a:solidFill>
                <a:schemeClr val="dk1"/>
              </a:solidFill>
              <a:effectLst/>
              <a:latin typeface="+mn-lt"/>
              <a:ea typeface="+mn-ea"/>
              <a:cs typeface="+mn-cs"/>
            </a:rPr>
            <a:t>Less than 15%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Licensed Clinical Social Worker</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50% or greater = 5 Points</a:t>
          </a:r>
        </a:p>
        <a:p>
          <a:r>
            <a:rPr lang="en-US" sz="1100">
              <a:solidFill>
                <a:schemeClr val="dk1"/>
              </a:solidFill>
              <a:effectLst/>
              <a:latin typeface="+mn-lt"/>
              <a:ea typeface="+mn-ea"/>
              <a:cs typeface="+mn-cs"/>
            </a:rPr>
            <a:t>33-49.99% = 3 Points</a:t>
          </a:r>
        </a:p>
        <a:p>
          <a:r>
            <a:rPr lang="en-US" sz="1100">
              <a:solidFill>
                <a:schemeClr val="dk1"/>
              </a:solidFill>
              <a:effectLst/>
              <a:latin typeface="+mn-lt"/>
              <a:ea typeface="+mn-ea"/>
              <a:cs typeface="+mn-cs"/>
            </a:rPr>
            <a:t>15-32.99% = 1 Point</a:t>
          </a:r>
        </a:p>
        <a:p>
          <a:r>
            <a:rPr lang="en-US" sz="1100">
              <a:solidFill>
                <a:schemeClr val="dk1"/>
              </a:solidFill>
              <a:effectLst/>
              <a:latin typeface="+mn-lt"/>
              <a:ea typeface="+mn-ea"/>
              <a:cs typeface="+mn-cs"/>
            </a:rPr>
            <a:t>Less than 15%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Licensed Professional Counselor</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50% or greater = 5 Points</a:t>
          </a:r>
        </a:p>
        <a:p>
          <a:r>
            <a:rPr lang="en-US" sz="1100">
              <a:solidFill>
                <a:schemeClr val="dk1"/>
              </a:solidFill>
              <a:effectLst/>
              <a:latin typeface="+mn-lt"/>
              <a:ea typeface="+mn-ea"/>
              <a:cs typeface="+mn-cs"/>
            </a:rPr>
            <a:t>33-49.99% = 3 Points</a:t>
          </a:r>
        </a:p>
        <a:p>
          <a:r>
            <a:rPr lang="en-US" sz="1100">
              <a:solidFill>
                <a:schemeClr val="dk1"/>
              </a:solidFill>
              <a:effectLst/>
              <a:latin typeface="+mn-lt"/>
              <a:ea typeface="+mn-ea"/>
              <a:cs typeface="+mn-cs"/>
            </a:rPr>
            <a:t>15-32.99% = 1 Point</a:t>
          </a:r>
        </a:p>
        <a:p>
          <a:r>
            <a:rPr lang="en-US" sz="1100">
              <a:solidFill>
                <a:schemeClr val="dk1"/>
              </a:solidFill>
              <a:effectLst/>
              <a:latin typeface="+mn-lt"/>
              <a:ea typeface="+mn-ea"/>
              <a:cs typeface="+mn-cs"/>
            </a:rPr>
            <a:t>Less than 15%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Licensed Mental Health Counselor</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50% or greater = 5 Points</a:t>
          </a:r>
        </a:p>
        <a:p>
          <a:r>
            <a:rPr lang="en-US" sz="1100">
              <a:solidFill>
                <a:schemeClr val="dk1"/>
              </a:solidFill>
              <a:effectLst/>
              <a:latin typeface="+mn-lt"/>
              <a:ea typeface="+mn-ea"/>
              <a:cs typeface="+mn-cs"/>
            </a:rPr>
            <a:t>33-49.99% = 3 Points</a:t>
          </a:r>
        </a:p>
        <a:p>
          <a:r>
            <a:rPr lang="en-US" sz="1100">
              <a:solidFill>
                <a:schemeClr val="dk1"/>
              </a:solidFill>
              <a:effectLst/>
              <a:latin typeface="+mn-lt"/>
              <a:ea typeface="+mn-ea"/>
              <a:cs typeface="+mn-cs"/>
            </a:rPr>
            <a:t>15-32.99% = 1 Point</a:t>
          </a:r>
        </a:p>
        <a:p>
          <a:r>
            <a:rPr lang="en-US" sz="1100">
              <a:solidFill>
                <a:schemeClr val="dk1"/>
              </a:solidFill>
              <a:effectLst/>
              <a:latin typeface="+mn-lt"/>
              <a:ea typeface="+mn-ea"/>
              <a:cs typeface="+mn-cs"/>
            </a:rPr>
            <a:t>Less than 15%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Licensed Marriage and Family Therapist</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50% or greater = 5 Points</a:t>
          </a:r>
        </a:p>
        <a:p>
          <a:r>
            <a:rPr lang="en-US" sz="1100">
              <a:solidFill>
                <a:schemeClr val="dk1"/>
              </a:solidFill>
              <a:effectLst/>
              <a:latin typeface="+mn-lt"/>
              <a:ea typeface="+mn-ea"/>
              <a:cs typeface="+mn-cs"/>
            </a:rPr>
            <a:t>33-49.99% = 3 Points</a:t>
          </a:r>
        </a:p>
        <a:p>
          <a:r>
            <a:rPr lang="en-US" sz="1100">
              <a:solidFill>
                <a:schemeClr val="dk1"/>
              </a:solidFill>
              <a:effectLst/>
              <a:latin typeface="+mn-lt"/>
              <a:ea typeface="+mn-ea"/>
              <a:cs typeface="+mn-cs"/>
            </a:rPr>
            <a:t>15-32.99% = 1 Point</a:t>
          </a:r>
        </a:p>
        <a:p>
          <a:r>
            <a:rPr lang="en-US" sz="1100">
              <a:solidFill>
                <a:schemeClr val="dk1"/>
              </a:solidFill>
              <a:effectLst/>
              <a:latin typeface="+mn-lt"/>
              <a:ea typeface="+mn-ea"/>
              <a:cs typeface="+mn-cs"/>
            </a:rPr>
            <a:t>Less than 15% = 0 Points</a:t>
          </a: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xdr:txBody>
    </xdr:sp>
    <xdr:clientData/>
  </xdr:twoCellAnchor>
  <xdr:twoCellAnchor>
    <xdr:from>
      <xdr:col>9</xdr:col>
      <xdr:colOff>95250</xdr:colOff>
      <xdr:row>2</xdr:row>
      <xdr:rowOff>66675</xdr:rowOff>
    </xdr:from>
    <xdr:to>
      <xdr:col>17</xdr:col>
      <xdr:colOff>504825</xdr:colOff>
      <xdr:row>44</xdr:row>
      <xdr:rowOff>28575</xdr:rowOff>
    </xdr:to>
    <xdr:sp macro="" textlink="">
      <xdr:nvSpPr>
        <xdr:cNvPr id="22" name="TextBox 2">
          <a:extLst>
            <a:ext uri="{FF2B5EF4-FFF2-40B4-BE49-F238E27FC236}">
              <a16:creationId xmlns:a16="http://schemas.microsoft.com/office/drawing/2014/main" id="{00000000-0008-0000-1100-000016000000}"/>
            </a:ext>
          </a:extLst>
        </xdr:cNvPr>
        <xdr:cNvSpPr txBox="1"/>
      </xdr:nvSpPr>
      <xdr:spPr>
        <a:xfrm>
          <a:off x="6038850" y="600075"/>
          <a:ext cx="5286375" cy="796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Item 1b:</a:t>
          </a:r>
          <a:r>
            <a:rPr lang="en-US" sz="1100">
              <a:solidFill>
                <a:schemeClr val="dk1"/>
              </a:solidFill>
              <a:effectLst/>
              <a:latin typeface="+mn-lt"/>
              <a:ea typeface="+mn-ea"/>
              <a:cs typeface="+mn-cs"/>
            </a:rPr>
            <a:t> All Pediatricians (including Adolescence Medicine) who have the following Medicaid-provider-enrolled providers available within the building of their medical practice:</a:t>
          </a:r>
          <a:endParaRPr lang="en-US">
            <a:effectLst/>
          </a:endParaRPr>
        </a:p>
        <a:p>
          <a:r>
            <a:rPr lang="en-US" sz="1100" b="1">
              <a:solidFill>
                <a:schemeClr val="dk1"/>
              </a:solidFill>
              <a:effectLst/>
              <a:latin typeface="+mn-lt"/>
              <a:ea typeface="+mn-ea"/>
              <a:cs typeface="+mn-cs"/>
            </a:rPr>
            <a:t>Psychiatrist </a:t>
          </a:r>
          <a:endParaRPr lang="en-US">
            <a:effectLst/>
          </a:endParaRPr>
        </a:p>
        <a:p>
          <a:r>
            <a:rPr lang="en-US" sz="1100">
              <a:solidFill>
                <a:schemeClr val="dk1"/>
              </a:solidFill>
              <a:effectLst/>
              <a:latin typeface="+mn-lt"/>
              <a:ea typeface="+mn-ea"/>
              <a:cs typeface="+mn-cs"/>
            </a:rPr>
            <a:t>50% or greater = 5 Points</a:t>
          </a:r>
          <a:endParaRPr lang="en-US">
            <a:effectLst/>
          </a:endParaRPr>
        </a:p>
        <a:p>
          <a:r>
            <a:rPr lang="en-US" sz="1100">
              <a:solidFill>
                <a:schemeClr val="dk1"/>
              </a:solidFill>
              <a:effectLst/>
              <a:latin typeface="+mn-lt"/>
              <a:ea typeface="+mn-ea"/>
              <a:cs typeface="+mn-cs"/>
            </a:rPr>
            <a:t>33-49.99% = 3 Points</a:t>
          </a:r>
          <a:endParaRPr lang="en-US">
            <a:effectLst/>
          </a:endParaRPr>
        </a:p>
        <a:p>
          <a:r>
            <a:rPr lang="en-US" sz="1100">
              <a:solidFill>
                <a:schemeClr val="dk1"/>
              </a:solidFill>
              <a:effectLst/>
              <a:latin typeface="+mn-lt"/>
              <a:ea typeface="+mn-ea"/>
              <a:cs typeface="+mn-cs"/>
            </a:rPr>
            <a:t>15-32.99% = 1 Point</a:t>
          </a:r>
          <a:endParaRPr lang="en-US">
            <a:effectLst/>
          </a:endParaRPr>
        </a:p>
        <a:p>
          <a:r>
            <a:rPr lang="en-US" sz="1100">
              <a:solidFill>
                <a:schemeClr val="dk1"/>
              </a:solidFill>
              <a:effectLst/>
              <a:latin typeface="+mn-lt"/>
              <a:ea typeface="+mn-ea"/>
              <a:cs typeface="+mn-cs"/>
            </a:rPr>
            <a:t>Less than 15% = 0 Points</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Psychologist</a:t>
          </a:r>
          <a:endParaRPr lang="en-US">
            <a:effectLst/>
          </a:endParaRPr>
        </a:p>
        <a:p>
          <a:r>
            <a:rPr lang="en-US" sz="1100">
              <a:solidFill>
                <a:schemeClr val="dk1"/>
              </a:solidFill>
              <a:effectLst/>
              <a:latin typeface="+mn-lt"/>
              <a:ea typeface="+mn-ea"/>
              <a:cs typeface="+mn-cs"/>
            </a:rPr>
            <a:t>50% or greater = 5 Points</a:t>
          </a:r>
          <a:endParaRPr lang="en-US">
            <a:effectLst/>
          </a:endParaRPr>
        </a:p>
        <a:p>
          <a:r>
            <a:rPr lang="en-US" sz="1100">
              <a:solidFill>
                <a:schemeClr val="dk1"/>
              </a:solidFill>
              <a:effectLst/>
              <a:latin typeface="+mn-lt"/>
              <a:ea typeface="+mn-ea"/>
              <a:cs typeface="+mn-cs"/>
            </a:rPr>
            <a:t>33-49.99% = 3 Points</a:t>
          </a:r>
          <a:endParaRPr lang="en-US">
            <a:effectLst/>
          </a:endParaRPr>
        </a:p>
        <a:p>
          <a:r>
            <a:rPr lang="en-US" sz="1100">
              <a:solidFill>
                <a:schemeClr val="dk1"/>
              </a:solidFill>
              <a:effectLst/>
              <a:latin typeface="+mn-lt"/>
              <a:ea typeface="+mn-ea"/>
              <a:cs typeface="+mn-cs"/>
            </a:rPr>
            <a:t>15-32.99% = 1 Point</a:t>
          </a:r>
          <a:endParaRPr lang="en-US">
            <a:effectLst/>
          </a:endParaRPr>
        </a:p>
        <a:p>
          <a:r>
            <a:rPr lang="en-US" sz="1100">
              <a:solidFill>
                <a:schemeClr val="dk1"/>
              </a:solidFill>
              <a:effectLst/>
              <a:latin typeface="+mn-lt"/>
              <a:ea typeface="+mn-ea"/>
              <a:cs typeface="+mn-cs"/>
            </a:rPr>
            <a:t>Less than 15% = 0 Points</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Licensed Clinical Social Worker</a:t>
          </a:r>
          <a:endParaRPr lang="en-US">
            <a:effectLst/>
          </a:endParaRPr>
        </a:p>
        <a:p>
          <a:r>
            <a:rPr lang="en-US" sz="1100">
              <a:solidFill>
                <a:schemeClr val="dk1"/>
              </a:solidFill>
              <a:effectLst/>
              <a:latin typeface="+mn-lt"/>
              <a:ea typeface="+mn-ea"/>
              <a:cs typeface="+mn-cs"/>
            </a:rPr>
            <a:t>50% or greater = 5 Points</a:t>
          </a:r>
          <a:endParaRPr lang="en-US">
            <a:effectLst/>
          </a:endParaRPr>
        </a:p>
        <a:p>
          <a:r>
            <a:rPr lang="en-US" sz="1100">
              <a:solidFill>
                <a:schemeClr val="dk1"/>
              </a:solidFill>
              <a:effectLst/>
              <a:latin typeface="+mn-lt"/>
              <a:ea typeface="+mn-ea"/>
              <a:cs typeface="+mn-cs"/>
            </a:rPr>
            <a:t>33-49.99% = 3 Points</a:t>
          </a:r>
          <a:endParaRPr lang="en-US">
            <a:effectLst/>
          </a:endParaRPr>
        </a:p>
        <a:p>
          <a:r>
            <a:rPr lang="en-US" sz="1100">
              <a:solidFill>
                <a:schemeClr val="dk1"/>
              </a:solidFill>
              <a:effectLst/>
              <a:latin typeface="+mn-lt"/>
              <a:ea typeface="+mn-ea"/>
              <a:cs typeface="+mn-cs"/>
            </a:rPr>
            <a:t>15-32.99% = 1 Point</a:t>
          </a:r>
          <a:endParaRPr lang="en-US">
            <a:effectLst/>
          </a:endParaRPr>
        </a:p>
        <a:p>
          <a:r>
            <a:rPr lang="en-US" sz="1100">
              <a:solidFill>
                <a:schemeClr val="dk1"/>
              </a:solidFill>
              <a:effectLst/>
              <a:latin typeface="+mn-lt"/>
              <a:ea typeface="+mn-ea"/>
              <a:cs typeface="+mn-cs"/>
            </a:rPr>
            <a:t>Less than 15% = 0 Points</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Licensed Professional Counselor</a:t>
          </a:r>
          <a:endParaRPr lang="en-US">
            <a:effectLst/>
          </a:endParaRPr>
        </a:p>
        <a:p>
          <a:r>
            <a:rPr lang="en-US" sz="1100">
              <a:solidFill>
                <a:schemeClr val="dk1"/>
              </a:solidFill>
              <a:effectLst/>
              <a:latin typeface="+mn-lt"/>
              <a:ea typeface="+mn-ea"/>
              <a:cs typeface="+mn-cs"/>
            </a:rPr>
            <a:t>50% or greater = 5 Points</a:t>
          </a:r>
          <a:endParaRPr lang="en-US">
            <a:effectLst/>
          </a:endParaRPr>
        </a:p>
        <a:p>
          <a:r>
            <a:rPr lang="en-US" sz="1100">
              <a:solidFill>
                <a:schemeClr val="dk1"/>
              </a:solidFill>
              <a:effectLst/>
              <a:latin typeface="+mn-lt"/>
              <a:ea typeface="+mn-ea"/>
              <a:cs typeface="+mn-cs"/>
            </a:rPr>
            <a:t>33-49.99% = 3 Points</a:t>
          </a:r>
          <a:endParaRPr lang="en-US">
            <a:effectLst/>
          </a:endParaRPr>
        </a:p>
        <a:p>
          <a:r>
            <a:rPr lang="en-US" sz="1100">
              <a:solidFill>
                <a:schemeClr val="dk1"/>
              </a:solidFill>
              <a:effectLst/>
              <a:latin typeface="+mn-lt"/>
              <a:ea typeface="+mn-ea"/>
              <a:cs typeface="+mn-cs"/>
            </a:rPr>
            <a:t>15-32.99% = 1 Point</a:t>
          </a:r>
          <a:endParaRPr lang="en-US">
            <a:effectLst/>
          </a:endParaRPr>
        </a:p>
        <a:p>
          <a:r>
            <a:rPr lang="en-US" sz="1100">
              <a:solidFill>
                <a:schemeClr val="dk1"/>
              </a:solidFill>
              <a:effectLst/>
              <a:latin typeface="+mn-lt"/>
              <a:ea typeface="+mn-ea"/>
              <a:cs typeface="+mn-cs"/>
            </a:rPr>
            <a:t>Less than 15% = 0 Points</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Licensed Mental Health Counselor</a:t>
          </a:r>
          <a:endParaRPr lang="en-US">
            <a:effectLst/>
          </a:endParaRPr>
        </a:p>
        <a:p>
          <a:r>
            <a:rPr lang="en-US" sz="1100">
              <a:solidFill>
                <a:schemeClr val="dk1"/>
              </a:solidFill>
              <a:effectLst/>
              <a:latin typeface="+mn-lt"/>
              <a:ea typeface="+mn-ea"/>
              <a:cs typeface="+mn-cs"/>
            </a:rPr>
            <a:t>50% or greater = 5 Points</a:t>
          </a:r>
          <a:endParaRPr lang="en-US">
            <a:effectLst/>
          </a:endParaRPr>
        </a:p>
        <a:p>
          <a:r>
            <a:rPr lang="en-US" sz="1100">
              <a:solidFill>
                <a:schemeClr val="dk1"/>
              </a:solidFill>
              <a:effectLst/>
              <a:latin typeface="+mn-lt"/>
              <a:ea typeface="+mn-ea"/>
              <a:cs typeface="+mn-cs"/>
            </a:rPr>
            <a:t>33-49.99% = 3 Points</a:t>
          </a:r>
          <a:endParaRPr lang="en-US">
            <a:effectLst/>
          </a:endParaRPr>
        </a:p>
        <a:p>
          <a:r>
            <a:rPr lang="en-US" sz="1100">
              <a:solidFill>
                <a:schemeClr val="dk1"/>
              </a:solidFill>
              <a:effectLst/>
              <a:latin typeface="+mn-lt"/>
              <a:ea typeface="+mn-ea"/>
              <a:cs typeface="+mn-cs"/>
            </a:rPr>
            <a:t>15-32.99% = 1 Point</a:t>
          </a:r>
          <a:endParaRPr lang="en-US">
            <a:effectLst/>
          </a:endParaRPr>
        </a:p>
        <a:p>
          <a:r>
            <a:rPr lang="en-US" sz="1100">
              <a:solidFill>
                <a:schemeClr val="dk1"/>
              </a:solidFill>
              <a:effectLst/>
              <a:latin typeface="+mn-lt"/>
              <a:ea typeface="+mn-ea"/>
              <a:cs typeface="+mn-cs"/>
            </a:rPr>
            <a:t>Less than 15% = 0 Points</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Licensed Marriage and Family Therapist</a:t>
          </a:r>
          <a:endParaRPr lang="en-US">
            <a:effectLst/>
          </a:endParaRPr>
        </a:p>
        <a:p>
          <a:r>
            <a:rPr lang="en-US" sz="1100">
              <a:solidFill>
                <a:schemeClr val="dk1"/>
              </a:solidFill>
              <a:effectLst/>
              <a:latin typeface="+mn-lt"/>
              <a:ea typeface="+mn-ea"/>
              <a:cs typeface="+mn-cs"/>
            </a:rPr>
            <a:t>50% or greater = 5 Points</a:t>
          </a:r>
          <a:endParaRPr lang="en-US">
            <a:effectLst/>
          </a:endParaRPr>
        </a:p>
        <a:p>
          <a:r>
            <a:rPr lang="en-US" sz="1100">
              <a:solidFill>
                <a:schemeClr val="dk1"/>
              </a:solidFill>
              <a:effectLst/>
              <a:latin typeface="+mn-lt"/>
              <a:ea typeface="+mn-ea"/>
              <a:cs typeface="+mn-cs"/>
            </a:rPr>
            <a:t>33-49.99% = 3 Points</a:t>
          </a:r>
          <a:endParaRPr lang="en-US">
            <a:effectLst/>
          </a:endParaRPr>
        </a:p>
        <a:p>
          <a:r>
            <a:rPr lang="en-US" sz="1100">
              <a:solidFill>
                <a:schemeClr val="dk1"/>
              </a:solidFill>
              <a:effectLst/>
              <a:latin typeface="+mn-lt"/>
              <a:ea typeface="+mn-ea"/>
              <a:cs typeface="+mn-cs"/>
            </a:rPr>
            <a:t>15-32.99% = 1 Point</a:t>
          </a:r>
          <a:endParaRPr lang="en-US">
            <a:effectLst/>
          </a:endParaRPr>
        </a:p>
        <a:p>
          <a:r>
            <a:rPr lang="en-US" sz="1100">
              <a:solidFill>
                <a:schemeClr val="dk1"/>
              </a:solidFill>
              <a:effectLst/>
              <a:latin typeface="+mn-lt"/>
              <a:ea typeface="+mn-ea"/>
              <a:cs typeface="+mn-cs"/>
            </a:rPr>
            <a:t>Less than 15% = 0 Points</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Item 2a</a:t>
          </a:r>
          <a:r>
            <a:rPr lang="en-US" sz="1100">
              <a:solidFill>
                <a:schemeClr val="dk1"/>
              </a:solidFill>
              <a:effectLst/>
              <a:latin typeface="+mn-lt"/>
              <a:ea typeface="+mn-ea"/>
              <a:cs typeface="+mn-cs"/>
            </a:rPr>
            <a:t>: All Primary Care Providers (PCPs) whose practice has earned NCQA distinction in Behavioral Health Integration:</a:t>
          </a:r>
          <a:endParaRPr lang="en-US">
            <a:effectLst/>
          </a:endParaRPr>
        </a:p>
        <a:p>
          <a:r>
            <a:rPr lang="en-US" sz="1100">
              <a:solidFill>
                <a:schemeClr val="dk1"/>
              </a:solidFill>
              <a:effectLst/>
              <a:latin typeface="+mn-lt"/>
              <a:ea typeface="+mn-ea"/>
              <a:cs typeface="+mn-cs"/>
            </a:rPr>
            <a:t>50% or greater = 5 Points</a:t>
          </a:r>
          <a:endParaRPr lang="en-US">
            <a:effectLst/>
          </a:endParaRPr>
        </a:p>
        <a:p>
          <a:r>
            <a:rPr lang="en-US" sz="1100">
              <a:solidFill>
                <a:schemeClr val="dk1"/>
              </a:solidFill>
              <a:effectLst/>
              <a:latin typeface="+mn-lt"/>
              <a:ea typeface="+mn-ea"/>
              <a:cs typeface="+mn-cs"/>
            </a:rPr>
            <a:t>33-49.99% = 3 Points</a:t>
          </a:r>
          <a:endParaRPr lang="en-US">
            <a:effectLst/>
          </a:endParaRPr>
        </a:p>
        <a:p>
          <a:r>
            <a:rPr lang="en-US" sz="1100">
              <a:solidFill>
                <a:schemeClr val="dk1"/>
              </a:solidFill>
              <a:effectLst/>
              <a:latin typeface="+mn-lt"/>
              <a:ea typeface="+mn-ea"/>
              <a:cs typeface="+mn-cs"/>
            </a:rPr>
            <a:t>15-32.99% = 1 Point</a:t>
          </a:r>
          <a:endParaRPr lang="en-US">
            <a:effectLst/>
          </a:endParaRPr>
        </a:p>
        <a:p>
          <a:r>
            <a:rPr lang="en-US" sz="1100">
              <a:solidFill>
                <a:schemeClr val="dk1"/>
              </a:solidFill>
              <a:effectLst/>
              <a:latin typeface="+mn-lt"/>
              <a:ea typeface="+mn-ea"/>
              <a:cs typeface="+mn-cs"/>
            </a:rPr>
            <a:t>Less than 15% = 0 Points</a:t>
          </a:r>
          <a:endParaRPr lang="en-US">
            <a:effectLst/>
          </a:endParaRPr>
        </a:p>
        <a:p>
          <a:r>
            <a:rPr lang="en-US" sz="1100">
              <a:solidFill>
                <a:schemeClr val="dk1"/>
              </a:solidFill>
              <a:effectLst/>
              <a:latin typeface="+mn-lt"/>
              <a:ea typeface="+mn-ea"/>
              <a:cs typeface="+mn-cs"/>
            </a:rPr>
            <a:t> </a:t>
          </a:r>
          <a:endParaRPr lang="en-US">
            <a:effectLst/>
          </a:endParaRPr>
        </a:p>
      </xdr:txBody>
    </xdr:sp>
    <xdr:clientData/>
  </xdr:twoCellAnchor>
  <xdr:twoCellAnchor>
    <xdr:from>
      <xdr:col>18</xdr:col>
      <xdr:colOff>95250</xdr:colOff>
      <xdr:row>2</xdr:row>
      <xdr:rowOff>85725</xdr:rowOff>
    </xdr:from>
    <xdr:to>
      <xdr:col>26</xdr:col>
      <xdr:colOff>504825</xdr:colOff>
      <xdr:row>43</xdr:row>
      <xdr:rowOff>104775</xdr:rowOff>
    </xdr:to>
    <xdr:sp macro="" textlink="">
      <xdr:nvSpPr>
        <xdr:cNvPr id="2" name="TextBox 2">
          <a:extLst>
            <a:ext uri="{FF2B5EF4-FFF2-40B4-BE49-F238E27FC236}">
              <a16:creationId xmlns:a16="http://schemas.microsoft.com/office/drawing/2014/main" id="{00000000-0008-0000-1100-000002000000}"/>
            </a:ext>
          </a:extLst>
        </xdr:cNvPr>
        <xdr:cNvSpPr txBox="1"/>
      </xdr:nvSpPr>
      <xdr:spPr>
        <a:xfrm>
          <a:off x="12411075" y="619125"/>
          <a:ext cx="5667375" cy="782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Item 2b</a:t>
          </a:r>
          <a:r>
            <a:rPr lang="en-US" sz="1100">
              <a:solidFill>
                <a:schemeClr val="dk1"/>
              </a:solidFill>
              <a:effectLst/>
              <a:latin typeface="+mn-lt"/>
              <a:ea typeface="+mn-ea"/>
              <a:cs typeface="+mn-cs"/>
            </a:rPr>
            <a:t>: All Pediatricians (including Adolescence Medicine) whose practice has earned NCQA distinction in Behavioral Health Integration:</a:t>
          </a:r>
          <a:endParaRPr lang="en-US">
            <a:effectLst/>
          </a:endParaRPr>
        </a:p>
        <a:p>
          <a:r>
            <a:rPr lang="en-US" sz="1100">
              <a:solidFill>
                <a:schemeClr val="dk1"/>
              </a:solidFill>
              <a:effectLst/>
              <a:latin typeface="+mn-lt"/>
              <a:ea typeface="+mn-ea"/>
              <a:cs typeface="+mn-cs"/>
            </a:rPr>
            <a:t>50% or greater = 5 Points</a:t>
          </a:r>
          <a:endParaRPr lang="en-US">
            <a:effectLst/>
          </a:endParaRPr>
        </a:p>
        <a:p>
          <a:r>
            <a:rPr lang="en-US" sz="1100">
              <a:solidFill>
                <a:schemeClr val="dk1"/>
              </a:solidFill>
              <a:effectLst/>
              <a:latin typeface="+mn-lt"/>
              <a:ea typeface="+mn-ea"/>
              <a:cs typeface="+mn-cs"/>
            </a:rPr>
            <a:t>33-49.99% = 3 Points</a:t>
          </a:r>
          <a:endParaRPr lang="en-US">
            <a:effectLst/>
          </a:endParaRPr>
        </a:p>
        <a:p>
          <a:r>
            <a:rPr lang="en-US" sz="1100">
              <a:solidFill>
                <a:schemeClr val="dk1"/>
              </a:solidFill>
              <a:effectLst/>
              <a:latin typeface="+mn-lt"/>
              <a:ea typeface="+mn-ea"/>
              <a:cs typeface="+mn-cs"/>
            </a:rPr>
            <a:t>15-32.99% = 1 Point</a:t>
          </a:r>
          <a:endParaRPr lang="en-US">
            <a:effectLst/>
          </a:endParaRPr>
        </a:p>
        <a:p>
          <a:r>
            <a:rPr lang="en-US" sz="1100">
              <a:solidFill>
                <a:schemeClr val="dk1"/>
              </a:solidFill>
              <a:effectLst/>
              <a:latin typeface="+mn-lt"/>
              <a:ea typeface="+mn-ea"/>
              <a:cs typeface="+mn-cs"/>
            </a:rPr>
            <a:t>Less than 15% = 0 Points</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For Three Contracts</a:t>
          </a:r>
          <a:endParaRPr lang="en-US">
            <a:effectLst/>
          </a:endParaRPr>
        </a:p>
        <a:p>
          <a:r>
            <a:rPr lang="en-US" sz="1100" b="1">
              <a:solidFill>
                <a:schemeClr val="dk1"/>
              </a:solidFill>
              <a:effectLst/>
              <a:latin typeface="+mn-lt"/>
              <a:ea typeface="+mn-ea"/>
              <a:cs typeface="+mn-cs"/>
            </a:rPr>
            <a:t>Item 3a</a:t>
          </a:r>
          <a:r>
            <a:rPr lang="en-US" sz="1100">
              <a:solidFill>
                <a:schemeClr val="dk1"/>
              </a:solidFill>
              <a:effectLst/>
              <a:latin typeface="+mn-lt"/>
              <a:ea typeface="+mn-ea"/>
              <a:cs typeface="+mn-cs"/>
            </a:rPr>
            <a:t>: All Primary Care Providers (PCPs) who submitted at least once claim for SBIRT in the most recent available Calendar Year (CY):</a:t>
          </a:r>
          <a:endParaRPr lang="en-US">
            <a:effectLst/>
          </a:endParaRPr>
        </a:p>
        <a:p>
          <a:r>
            <a:rPr lang="en-US" sz="1100">
              <a:solidFill>
                <a:schemeClr val="dk1"/>
              </a:solidFill>
              <a:effectLst/>
              <a:latin typeface="+mn-lt"/>
              <a:ea typeface="+mn-ea"/>
              <a:cs typeface="+mn-cs"/>
            </a:rPr>
            <a:t>30% or greater = 5 Points Per Contract</a:t>
          </a:r>
          <a:endParaRPr lang="en-US">
            <a:effectLst/>
          </a:endParaRPr>
        </a:p>
        <a:p>
          <a:r>
            <a:rPr lang="en-US" sz="1100">
              <a:solidFill>
                <a:schemeClr val="dk1"/>
              </a:solidFill>
              <a:effectLst/>
              <a:latin typeface="+mn-lt"/>
              <a:ea typeface="+mn-ea"/>
              <a:cs typeface="+mn-cs"/>
            </a:rPr>
            <a:t>15-29.99% = 3 Points Per Contract</a:t>
          </a:r>
          <a:endParaRPr lang="en-US">
            <a:effectLst/>
          </a:endParaRPr>
        </a:p>
        <a:p>
          <a:r>
            <a:rPr lang="en-US" sz="1100">
              <a:solidFill>
                <a:schemeClr val="dk1"/>
              </a:solidFill>
              <a:effectLst/>
              <a:latin typeface="+mn-lt"/>
              <a:ea typeface="+mn-ea"/>
              <a:cs typeface="+mn-cs"/>
            </a:rPr>
            <a:t>5-14.99% = 1 Point Per Contract</a:t>
          </a:r>
          <a:endParaRPr lang="en-US">
            <a:effectLst/>
          </a:endParaRPr>
        </a:p>
        <a:p>
          <a:r>
            <a:rPr lang="en-US" sz="1100">
              <a:solidFill>
                <a:schemeClr val="dk1"/>
              </a:solidFill>
              <a:effectLst/>
              <a:latin typeface="+mn-lt"/>
              <a:ea typeface="+mn-ea"/>
              <a:cs typeface="+mn-cs"/>
            </a:rPr>
            <a:t>Less than 5% = 0 Points Per Contract</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Item 3b</a:t>
          </a:r>
          <a:r>
            <a:rPr lang="en-US" sz="1100">
              <a:solidFill>
                <a:schemeClr val="dk1"/>
              </a:solidFill>
              <a:effectLst/>
              <a:latin typeface="+mn-lt"/>
              <a:ea typeface="+mn-ea"/>
              <a:cs typeface="+mn-cs"/>
            </a:rPr>
            <a:t>: All Pediatricians (including Adolescence Medicine) who submitted at least once claim for SBIRT in the most recent available CY:</a:t>
          </a:r>
          <a:endParaRPr lang="en-US">
            <a:effectLst/>
          </a:endParaRPr>
        </a:p>
        <a:p>
          <a:r>
            <a:rPr lang="en-US" sz="1100">
              <a:solidFill>
                <a:schemeClr val="dk1"/>
              </a:solidFill>
              <a:effectLst/>
              <a:latin typeface="+mn-lt"/>
              <a:ea typeface="+mn-ea"/>
              <a:cs typeface="+mn-cs"/>
            </a:rPr>
            <a:t>30% or greater = 5 Points Per Contract</a:t>
          </a:r>
          <a:endParaRPr lang="en-US">
            <a:effectLst/>
          </a:endParaRPr>
        </a:p>
        <a:p>
          <a:r>
            <a:rPr lang="en-US" sz="1100">
              <a:solidFill>
                <a:schemeClr val="dk1"/>
              </a:solidFill>
              <a:effectLst/>
              <a:latin typeface="+mn-lt"/>
              <a:ea typeface="+mn-ea"/>
              <a:cs typeface="+mn-cs"/>
            </a:rPr>
            <a:t>15-29.99% = 3 Points Per Contract</a:t>
          </a:r>
          <a:endParaRPr lang="en-US">
            <a:effectLst/>
          </a:endParaRPr>
        </a:p>
        <a:p>
          <a:r>
            <a:rPr lang="en-US" sz="1100">
              <a:solidFill>
                <a:schemeClr val="dk1"/>
              </a:solidFill>
              <a:effectLst/>
              <a:latin typeface="+mn-lt"/>
              <a:ea typeface="+mn-ea"/>
              <a:cs typeface="+mn-cs"/>
            </a:rPr>
            <a:t>5-14.99% = 1 Point Per Contract</a:t>
          </a:r>
          <a:endParaRPr lang="en-US">
            <a:effectLst/>
          </a:endParaRPr>
        </a:p>
        <a:p>
          <a:r>
            <a:rPr lang="en-US" sz="1100">
              <a:solidFill>
                <a:schemeClr val="dk1"/>
              </a:solidFill>
              <a:effectLst/>
              <a:latin typeface="+mn-lt"/>
              <a:ea typeface="+mn-ea"/>
              <a:cs typeface="+mn-cs"/>
            </a:rPr>
            <a:t>Less than 5% = 0 Points Per Contract</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Item 3c</a:t>
          </a:r>
          <a:r>
            <a:rPr lang="en-US" sz="1100">
              <a:solidFill>
                <a:schemeClr val="dk1"/>
              </a:solidFill>
              <a:effectLst/>
              <a:latin typeface="+mn-lt"/>
              <a:ea typeface="+mn-ea"/>
              <a:cs typeface="+mn-cs"/>
            </a:rPr>
            <a:t>: All Obstetricians/Gynecologists who submitted at least once claim for SBIRT in the most recent available CY:</a:t>
          </a:r>
          <a:endParaRPr lang="en-US">
            <a:effectLst/>
          </a:endParaRPr>
        </a:p>
        <a:p>
          <a:r>
            <a:rPr lang="en-US" sz="1100">
              <a:solidFill>
                <a:schemeClr val="dk1"/>
              </a:solidFill>
              <a:effectLst/>
              <a:latin typeface="+mn-lt"/>
              <a:ea typeface="+mn-ea"/>
              <a:cs typeface="+mn-cs"/>
            </a:rPr>
            <a:t>30% or greater = 5 Points Per Contract</a:t>
          </a:r>
          <a:endParaRPr lang="en-US">
            <a:effectLst/>
          </a:endParaRPr>
        </a:p>
        <a:p>
          <a:r>
            <a:rPr lang="en-US" sz="1100">
              <a:solidFill>
                <a:schemeClr val="dk1"/>
              </a:solidFill>
              <a:effectLst/>
              <a:latin typeface="+mn-lt"/>
              <a:ea typeface="+mn-ea"/>
              <a:cs typeface="+mn-cs"/>
            </a:rPr>
            <a:t>15-29.99% = 3 Points Per Contract</a:t>
          </a:r>
          <a:endParaRPr lang="en-US">
            <a:effectLst/>
          </a:endParaRPr>
        </a:p>
        <a:p>
          <a:r>
            <a:rPr lang="en-US" sz="1100">
              <a:solidFill>
                <a:schemeClr val="dk1"/>
              </a:solidFill>
              <a:effectLst/>
              <a:latin typeface="+mn-lt"/>
              <a:ea typeface="+mn-ea"/>
              <a:cs typeface="+mn-cs"/>
            </a:rPr>
            <a:t>5-14.99% = 1 Point Per Contract</a:t>
          </a:r>
          <a:endParaRPr lang="en-US">
            <a:effectLst/>
          </a:endParaRPr>
        </a:p>
        <a:p>
          <a:r>
            <a:rPr lang="en-US" sz="1100">
              <a:solidFill>
                <a:schemeClr val="dk1"/>
              </a:solidFill>
              <a:effectLst/>
              <a:latin typeface="+mn-lt"/>
              <a:ea typeface="+mn-ea"/>
              <a:cs typeface="+mn-cs"/>
            </a:rPr>
            <a:t>Less than 5% = 0 Points Per Contract</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Item 4a</a:t>
          </a:r>
          <a:r>
            <a:rPr lang="en-US" sz="1100">
              <a:solidFill>
                <a:schemeClr val="dk1"/>
              </a:solidFill>
              <a:effectLst/>
              <a:latin typeface="+mn-lt"/>
              <a:ea typeface="+mn-ea"/>
              <a:cs typeface="+mn-cs"/>
            </a:rPr>
            <a:t>: All Primary Care Providers (PCPs) who submitted at least one claim for BHI CPT code 99484 for three consecutive CYs:</a:t>
          </a:r>
          <a:endParaRPr lang="en-US">
            <a:effectLst/>
          </a:endParaRPr>
        </a:p>
        <a:p>
          <a:r>
            <a:rPr lang="en-US" sz="1100">
              <a:solidFill>
                <a:schemeClr val="dk1"/>
              </a:solidFill>
              <a:effectLst/>
              <a:latin typeface="+mn-lt"/>
              <a:ea typeface="+mn-ea"/>
              <a:cs typeface="+mn-cs"/>
            </a:rPr>
            <a:t>30% or greater = 5 Points Per Contract Per CY</a:t>
          </a:r>
          <a:endParaRPr lang="en-US">
            <a:effectLst/>
          </a:endParaRPr>
        </a:p>
        <a:p>
          <a:r>
            <a:rPr lang="en-US" sz="1100">
              <a:solidFill>
                <a:schemeClr val="dk1"/>
              </a:solidFill>
              <a:effectLst/>
              <a:latin typeface="+mn-lt"/>
              <a:ea typeface="+mn-ea"/>
              <a:cs typeface="+mn-cs"/>
            </a:rPr>
            <a:t>15-29.99% = 3 Points Per Contract Per CY</a:t>
          </a:r>
          <a:endParaRPr lang="en-US">
            <a:effectLst/>
          </a:endParaRPr>
        </a:p>
        <a:p>
          <a:r>
            <a:rPr lang="en-US" sz="1100">
              <a:solidFill>
                <a:schemeClr val="dk1"/>
              </a:solidFill>
              <a:effectLst/>
              <a:latin typeface="+mn-lt"/>
              <a:ea typeface="+mn-ea"/>
              <a:cs typeface="+mn-cs"/>
            </a:rPr>
            <a:t>5-14.99% = 1 Point Per Contract Per CY</a:t>
          </a:r>
          <a:endParaRPr lang="en-US">
            <a:effectLst/>
          </a:endParaRPr>
        </a:p>
        <a:p>
          <a:r>
            <a:rPr lang="en-US" sz="1100">
              <a:solidFill>
                <a:schemeClr val="dk1"/>
              </a:solidFill>
              <a:effectLst/>
              <a:latin typeface="+mn-lt"/>
              <a:ea typeface="+mn-ea"/>
              <a:cs typeface="+mn-cs"/>
            </a:rPr>
            <a:t>Less than 5% = 0 Points Per Contract Per CY</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Item 4b</a:t>
          </a:r>
          <a:r>
            <a:rPr lang="en-US" sz="1100">
              <a:solidFill>
                <a:schemeClr val="dk1"/>
              </a:solidFill>
              <a:effectLst/>
              <a:latin typeface="+mn-lt"/>
              <a:ea typeface="+mn-ea"/>
              <a:cs typeface="+mn-cs"/>
            </a:rPr>
            <a:t>: All Pediatricians (including Adolescence Medicine) who submitted at least one claim for BHI CPT code 99484 for three consecutive CYs:</a:t>
          </a:r>
          <a:endParaRPr lang="en-US">
            <a:effectLst/>
          </a:endParaRPr>
        </a:p>
        <a:p>
          <a:r>
            <a:rPr lang="en-US" sz="1100">
              <a:solidFill>
                <a:schemeClr val="dk1"/>
              </a:solidFill>
              <a:effectLst/>
              <a:latin typeface="+mn-lt"/>
              <a:ea typeface="+mn-ea"/>
              <a:cs typeface="+mn-cs"/>
            </a:rPr>
            <a:t>30% or greater = 5 Points Per Contract Per CY</a:t>
          </a:r>
          <a:endParaRPr lang="en-US">
            <a:effectLst/>
          </a:endParaRPr>
        </a:p>
        <a:p>
          <a:r>
            <a:rPr lang="en-US" sz="1100">
              <a:solidFill>
                <a:schemeClr val="dk1"/>
              </a:solidFill>
              <a:effectLst/>
              <a:latin typeface="+mn-lt"/>
              <a:ea typeface="+mn-ea"/>
              <a:cs typeface="+mn-cs"/>
            </a:rPr>
            <a:t>15-29.99% = 3 Points Per Contract Per CY</a:t>
          </a:r>
          <a:endParaRPr lang="en-US">
            <a:effectLst/>
          </a:endParaRPr>
        </a:p>
        <a:p>
          <a:r>
            <a:rPr lang="en-US" sz="1100">
              <a:solidFill>
                <a:schemeClr val="dk1"/>
              </a:solidFill>
              <a:effectLst/>
              <a:latin typeface="+mn-lt"/>
              <a:ea typeface="+mn-ea"/>
              <a:cs typeface="+mn-cs"/>
            </a:rPr>
            <a:t>5-14.99% = 1 Point Per Contract Per CY</a:t>
          </a:r>
          <a:endParaRPr lang="en-US">
            <a:effectLst/>
          </a:endParaRPr>
        </a:p>
        <a:p>
          <a:r>
            <a:rPr lang="en-US" sz="1100">
              <a:solidFill>
                <a:schemeClr val="dk1"/>
              </a:solidFill>
              <a:effectLst/>
              <a:latin typeface="+mn-lt"/>
              <a:ea typeface="+mn-ea"/>
              <a:cs typeface="+mn-cs"/>
            </a:rPr>
            <a:t>Less than 5% = 0 Points Per Contract Per CY</a:t>
          </a:r>
          <a:endParaRPr lang="en-US">
            <a:effectLst/>
          </a:endParaRPr>
        </a:p>
        <a:p>
          <a:r>
            <a:rPr lang="en-US" sz="1100">
              <a:solidFill>
                <a:schemeClr val="dk1"/>
              </a:solidFill>
              <a:effectLst/>
              <a:latin typeface="+mn-lt"/>
              <a:ea typeface="+mn-ea"/>
              <a:cs typeface="+mn-cs"/>
            </a:rPr>
            <a:t> </a:t>
          </a:r>
          <a:endParaRPr lang="en-US">
            <a:effectLst/>
          </a:endParaRPr>
        </a:p>
        <a:p>
          <a:endParaRPr lang="en-US" sz="1100"/>
        </a:p>
      </xdr:txBody>
    </xdr:sp>
    <xdr:clientData/>
  </xdr:twoCellAnchor>
  <xdr:twoCellAnchor>
    <xdr:from>
      <xdr:col>27</xdr:col>
      <xdr:colOff>95250</xdr:colOff>
      <xdr:row>2</xdr:row>
      <xdr:rowOff>47625</xdr:rowOff>
    </xdr:from>
    <xdr:to>
      <xdr:col>35</xdr:col>
      <xdr:colOff>552450</xdr:colOff>
      <xdr:row>43</xdr:row>
      <xdr:rowOff>66675</xdr:rowOff>
    </xdr:to>
    <xdr:sp macro="" textlink="">
      <xdr:nvSpPr>
        <xdr:cNvPr id="3" name="TextBox 2">
          <a:extLst>
            <a:ext uri="{FF2B5EF4-FFF2-40B4-BE49-F238E27FC236}">
              <a16:creationId xmlns:a16="http://schemas.microsoft.com/office/drawing/2014/main" id="{00000000-0008-0000-1100-000003000000}"/>
            </a:ext>
          </a:extLst>
        </xdr:cNvPr>
        <xdr:cNvSpPr txBox="1"/>
      </xdr:nvSpPr>
      <xdr:spPr>
        <a:xfrm>
          <a:off x="18326100" y="581025"/>
          <a:ext cx="5715000" cy="782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Item 4c</a:t>
          </a:r>
          <a:r>
            <a:rPr lang="en-US" sz="1100">
              <a:solidFill>
                <a:schemeClr val="dk1"/>
              </a:solidFill>
              <a:effectLst/>
              <a:latin typeface="+mn-lt"/>
              <a:ea typeface="+mn-ea"/>
              <a:cs typeface="+mn-cs"/>
            </a:rPr>
            <a:t>: All Psychiatrists who submitted at least one claim for BHI CPT code 99492 for three consecutive CYs:</a:t>
          </a:r>
        </a:p>
        <a:p>
          <a:r>
            <a:rPr lang="en-US" sz="1100">
              <a:solidFill>
                <a:schemeClr val="dk1"/>
              </a:solidFill>
              <a:effectLst/>
              <a:latin typeface="+mn-lt"/>
              <a:ea typeface="+mn-ea"/>
              <a:cs typeface="+mn-cs"/>
            </a:rPr>
            <a:t>30% or greater = 5 Points Per Contract Per CY</a:t>
          </a:r>
        </a:p>
        <a:p>
          <a:r>
            <a:rPr lang="en-US" sz="1100">
              <a:solidFill>
                <a:schemeClr val="dk1"/>
              </a:solidFill>
              <a:effectLst/>
              <a:latin typeface="+mn-lt"/>
              <a:ea typeface="+mn-ea"/>
              <a:cs typeface="+mn-cs"/>
            </a:rPr>
            <a:t>15-29.99% = 3 Points Per Contract Per CY</a:t>
          </a:r>
        </a:p>
        <a:p>
          <a:r>
            <a:rPr lang="en-US" sz="1100">
              <a:solidFill>
                <a:schemeClr val="dk1"/>
              </a:solidFill>
              <a:effectLst/>
              <a:latin typeface="+mn-lt"/>
              <a:ea typeface="+mn-ea"/>
              <a:cs typeface="+mn-cs"/>
            </a:rPr>
            <a:t>5-14.99% = 1 Point Per Contract Per CY</a:t>
          </a:r>
        </a:p>
        <a:p>
          <a:r>
            <a:rPr lang="en-US" sz="1100">
              <a:solidFill>
                <a:schemeClr val="dk1"/>
              </a:solidFill>
              <a:effectLst/>
              <a:latin typeface="+mn-lt"/>
              <a:ea typeface="+mn-ea"/>
              <a:cs typeface="+mn-cs"/>
            </a:rPr>
            <a:t>Less than 5% = 0 Points Per Contract Per CY</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Item 5</a:t>
          </a:r>
          <a:r>
            <a:rPr lang="en-US" sz="1100">
              <a:solidFill>
                <a:schemeClr val="dk1"/>
              </a:solidFill>
              <a:effectLst/>
              <a:latin typeface="+mn-lt"/>
              <a:ea typeface="+mn-ea"/>
              <a:cs typeface="+mn-cs"/>
            </a:rPr>
            <a:t>: Core, Standard, Peripheral, Unutilized Physicians for three consecutive CYs:</a:t>
          </a:r>
        </a:p>
        <a:p>
          <a:r>
            <a:rPr lang="en-US" sz="1100" b="1">
              <a:solidFill>
                <a:schemeClr val="dk1"/>
              </a:solidFill>
              <a:effectLst/>
              <a:latin typeface="+mn-lt"/>
              <a:ea typeface="+mn-ea"/>
              <a:cs typeface="+mn-cs"/>
            </a:rPr>
            <a:t>All Providers in network – Core and Standard combined</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70% or greater = 10 Points Per Contract Per CY</a:t>
          </a:r>
        </a:p>
        <a:p>
          <a:r>
            <a:rPr lang="en-US" sz="1100">
              <a:solidFill>
                <a:schemeClr val="dk1"/>
              </a:solidFill>
              <a:effectLst/>
              <a:latin typeface="+mn-lt"/>
              <a:ea typeface="+mn-ea"/>
              <a:cs typeface="+mn-cs"/>
            </a:rPr>
            <a:t>40-69.99% = 6 Points Per Contract Per CY</a:t>
          </a:r>
        </a:p>
        <a:p>
          <a:r>
            <a:rPr lang="en-US" sz="1100">
              <a:solidFill>
                <a:schemeClr val="dk1"/>
              </a:solidFill>
              <a:effectLst/>
              <a:latin typeface="+mn-lt"/>
              <a:ea typeface="+mn-ea"/>
              <a:cs typeface="+mn-cs"/>
            </a:rPr>
            <a:t>20-39.99% = 1 Point Per Contract Per CY</a:t>
          </a:r>
        </a:p>
        <a:p>
          <a:r>
            <a:rPr lang="en-US" sz="1100">
              <a:solidFill>
                <a:schemeClr val="dk1"/>
              </a:solidFill>
              <a:effectLst/>
              <a:latin typeface="+mn-lt"/>
              <a:ea typeface="+mn-ea"/>
              <a:cs typeface="+mn-cs"/>
            </a:rPr>
            <a:t>Less than 20% = 0 Points Per Contract Per CY</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All Primary Care Providers in network</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 Core and Standard combined</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70% or greater = 10 Points Per Contract Per CY</a:t>
          </a:r>
        </a:p>
        <a:p>
          <a:r>
            <a:rPr lang="en-US" sz="1100">
              <a:solidFill>
                <a:schemeClr val="dk1"/>
              </a:solidFill>
              <a:effectLst/>
              <a:latin typeface="+mn-lt"/>
              <a:ea typeface="+mn-ea"/>
              <a:cs typeface="+mn-cs"/>
            </a:rPr>
            <a:t>40-69.99% = 6 Points Per Contract Per CY</a:t>
          </a:r>
        </a:p>
        <a:p>
          <a:r>
            <a:rPr lang="en-US" sz="1100">
              <a:solidFill>
                <a:schemeClr val="dk1"/>
              </a:solidFill>
              <a:effectLst/>
              <a:latin typeface="+mn-lt"/>
              <a:ea typeface="+mn-ea"/>
              <a:cs typeface="+mn-cs"/>
            </a:rPr>
            <a:t>20-39.99% = 1 Point Per Contract Per CY</a:t>
          </a:r>
        </a:p>
        <a:p>
          <a:r>
            <a:rPr lang="en-US" sz="1100">
              <a:solidFill>
                <a:schemeClr val="dk1"/>
              </a:solidFill>
              <a:effectLst/>
              <a:latin typeface="+mn-lt"/>
              <a:ea typeface="+mn-ea"/>
              <a:cs typeface="+mn-cs"/>
            </a:rPr>
            <a:t>Less than 20% = 0 Points Per Contract Per CY</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Pediatricians (including Adolescent Medicine) in network</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 Core and Standard combined</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50% or greater = 10 Points Per Contract Per CY</a:t>
          </a:r>
        </a:p>
        <a:p>
          <a:r>
            <a:rPr lang="en-US" sz="1100">
              <a:solidFill>
                <a:schemeClr val="dk1"/>
              </a:solidFill>
              <a:effectLst/>
              <a:latin typeface="+mn-lt"/>
              <a:ea typeface="+mn-ea"/>
              <a:cs typeface="+mn-cs"/>
            </a:rPr>
            <a:t>30-49.99% = 6 Points Per Contract Per CY</a:t>
          </a:r>
        </a:p>
        <a:p>
          <a:r>
            <a:rPr lang="en-US" sz="1100">
              <a:solidFill>
                <a:schemeClr val="dk1"/>
              </a:solidFill>
              <a:effectLst/>
              <a:latin typeface="+mn-lt"/>
              <a:ea typeface="+mn-ea"/>
              <a:cs typeface="+mn-cs"/>
            </a:rPr>
            <a:t>10-29.99% = 1 Point Per Contract Per CY</a:t>
          </a:r>
        </a:p>
        <a:p>
          <a:r>
            <a:rPr lang="en-US" sz="1100">
              <a:solidFill>
                <a:schemeClr val="dk1"/>
              </a:solidFill>
              <a:effectLst/>
              <a:latin typeface="+mn-lt"/>
              <a:ea typeface="+mn-ea"/>
              <a:cs typeface="+mn-cs"/>
            </a:rPr>
            <a:t>Less than 10% = 0 Points Per Contract Per CY</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Obstetricians/Gynecologists in network</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 Core and Standard combined</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70% or greater = 10 Points Per Contract Per CY</a:t>
          </a:r>
        </a:p>
        <a:p>
          <a:r>
            <a:rPr lang="en-US" sz="1100">
              <a:solidFill>
                <a:schemeClr val="dk1"/>
              </a:solidFill>
              <a:effectLst/>
              <a:latin typeface="+mn-lt"/>
              <a:ea typeface="+mn-ea"/>
              <a:cs typeface="+mn-cs"/>
            </a:rPr>
            <a:t>40-69.99% = 6 Points Per Contract Per CY</a:t>
          </a:r>
        </a:p>
        <a:p>
          <a:r>
            <a:rPr lang="en-US" sz="1100">
              <a:solidFill>
                <a:schemeClr val="dk1"/>
              </a:solidFill>
              <a:effectLst/>
              <a:latin typeface="+mn-lt"/>
              <a:ea typeface="+mn-ea"/>
              <a:cs typeface="+mn-cs"/>
            </a:rPr>
            <a:t>20-39.99% = 1 Point Per Contract Per CY</a:t>
          </a:r>
        </a:p>
        <a:p>
          <a:r>
            <a:rPr lang="en-US" sz="1100">
              <a:solidFill>
                <a:schemeClr val="dk1"/>
              </a:solidFill>
              <a:effectLst/>
              <a:latin typeface="+mn-lt"/>
              <a:ea typeface="+mn-ea"/>
              <a:cs typeface="+mn-cs"/>
            </a:rPr>
            <a:t>Less than 20% = 0 Points Per Contract Per CY</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Cardiologists in network</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 Core and Standard combined</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80% or greater = 5 Points Per Contract Per CY</a:t>
          </a:r>
        </a:p>
        <a:p>
          <a:r>
            <a:rPr lang="en-US" sz="1100">
              <a:solidFill>
                <a:schemeClr val="dk1"/>
              </a:solidFill>
              <a:effectLst/>
              <a:latin typeface="+mn-lt"/>
              <a:ea typeface="+mn-ea"/>
              <a:cs typeface="+mn-cs"/>
            </a:rPr>
            <a:t>50-79.99% = 3 Points Per Contract Per CY</a:t>
          </a:r>
        </a:p>
        <a:p>
          <a:r>
            <a:rPr lang="en-US" sz="1100">
              <a:solidFill>
                <a:schemeClr val="dk1"/>
              </a:solidFill>
              <a:effectLst/>
              <a:latin typeface="+mn-lt"/>
              <a:ea typeface="+mn-ea"/>
              <a:cs typeface="+mn-cs"/>
            </a:rPr>
            <a:t>30-49.99% = 1 Point Per Contract Per CY</a:t>
          </a:r>
        </a:p>
        <a:p>
          <a:r>
            <a:rPr lang="en-US" sz="1100">
              <a:solidFill>
                <a:schemeClr val="dk1"/>
              </a:solidFill>
              <a:effectLst/>
              <a:latin typeface="+mn-lt"/>
              <a:ea typeface="+mn-ea"/>
              <a:cs typeface="+mn-cs"/>
            </a:rPr>
            <a:t>Less than 30% = 0 Points Per Contract Per CY</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Psychiatrists in network</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 Core and Standard combined</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80% or greater = 5 Points Per Contract Per CY</a:t>
          </a:r>
        </a:p>
        <a:p>
          <a:r>
            <a:rPr lang="en-US" sz="1100">
              <a:solidFill>
                <a:schemeClr val="dk1"/>
              </a:solidFill>
              <a:effectLst/>
              <a:latin typeface="+mn-lt"/>
              <a:ea typeface="+mn-ea"/>
              <a:cs typeface="+mn-cs"/>
            </a:rPr>
            <a:t>50-79.99% = 3 Points Per Contract Per CY</a:t>
          </a:r>
        </a:p>
        <a:p>
          <a:r>
            <a:rPr lang="en-US" sz="1100">
              <a:solidFill>
                <a:schemeClr val="dk1"/>
              </a:solidFill>
              <a:effectLst/>
              <a:latin typeface="+mn-lt"/>
              <a:ea typeface="+mn-ea"/>
              <a:cs typeface="+mn-cs"/>
            </a:rPr>
            <a:t>30-49.99% = 1 Point Per Contract Per CY</a:t>
          </a:r>
        </a:p>
        <a:p>
          <a:r>
            <a:rPr lang="en-US" sz="1100">
              <a:solidFill>
                <a:schemeClr val="dk1"/>
              </a:solidFill>
              <a:effectLst/>
              <a:latin typeface="+mn-lt"/>
              <a:ea typeface="+mn-ea"/>
              <a:cs typeface="+mn-cs"/>
            </a:rPr>
            <a:t>Less than 30% = 0 Points Per Contract Per CY</a:t>
          </a:r>
        </a:p>
        <a:p>
          <a:r>
            <a:rPr lang="en-US" sz="1100">
              <a:solidFill>
                <a:schemeClr val="dk1"/>
              </a:solidFill>
              <a:effectLst/>
              <a:latin typeface="+mn-lt"/>
              <a:ea typeface="+mn-ea"/>
              <a:cs typeface="+mn-cs"/>
            </a:rPr>
            <a:t> </a:t>
          </a:r>
        </a:p>
      </xdr:txBody>
    </xdr:sp>
    <xdr:clientData/>
  </xdr:twoCellAnchor>
  <xdr:twoCellAnchor>
    <xdr:from>
      <xdr:col>36</xdr:col>
      <xdr:colOff>85725</xdr:colOff>
      <xdr:row>2</xdr:row>
      <xdr:rowOff>57150</xdr:rowOff>
    </xdr:from>
    <xdr:to>
      <xdr:col>44</xdr:col>
      <xdr:colOff>542925</xdr:colOff>
      <xdr:row>43</xdr:row>
      <xdr:rowOff>76200</xdr:rowOff>
    </xdr:to>
    <xdr:sp macro="" textlink="">
      <xdr:nvSpPr>
        <xdr:cNvPr id="4" name="TextBox 3">
          <a:extLst>
            <a:ext uri="{FF2B5EF4-FFF2-40B4-BE49-F238E27FC236}">
              <a16:creationId xmlns:a16="http://schemas.microsoft.com/office/drawing/2014/main" id="{00000000-0008-0000-1100-000004000000}"/>
            </a:ext>
          </a:extLst>
        </xdr:cNvPr>
        <xdr:cNvSpPr txBox="1"/>
      </xdr:nvSpPr>
      <xdr:spPr>
        <a:xfrm>
          <a:off x="22488525" y="590550"/>
          <a:ext cx="5334000" cy="782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dk1"/>
              </a:solidFill>
              <a:effectLst/>
              <a:latin typeface="+mn-lt"/>
              <a:ea typeface="+mn-ea"/>
              <a:cs typeface="+mn-cs"/>
            </a:rPr>
            <a:t>At the Time of Bid Submission:</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Item 6</a:t>
          </a:r>
          <a:r>
            <a:rPr lang="en-US" sz="1100">
              <a:solidFill>
                <a:schemeClr val="dk1"/>
              </a:solidFill>
              <a:effectLst/>
              <a:latin typeface="+mn-lt"/>
              <a:ea typeface="+mn-ea"/>
              <a:cs typeface="+mn-cs"/>
            </a:rPr>
            <a:t>: FPMHC (Florida Pediatric Mental Health Collaborative) Hubs</a:t>
          </a:r>
        </a:p>
        <a:p>
          <a:r>
            <a:rPr lang="en-US" sz="1100">
              <a:solidFill>
                <a:schemeClr val="dk1"/>
              </a:solidFill>
              <a:effectLst/>
              <a:latin typeface="+mn-lt"/>
              <a:ea typeface="+mn-ea"/>
              <a:cs typeface="+mn-cs"/>
            </a:rPr>
            <a:t>5 points for every contracted FPMHC hub (six total) at the time of bid submission.</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 total number of points is the sum of all individual points earned.</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 total earned points possible is 730.</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 maximum Final Score Possible is 250.</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 Final Score is calculated by multiplying the percentage of total points earned out of total points possible by the maximum Final Score Possible. </a:t>
          </a:r>
          <a:endParaRPr lang="en-US"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4</xdr:row>
      <xdr:rowOff>9523</xdr:rowOff>
    </xdr:from>
    <xdr:to>
      <xdr:col>8</xdr:col>
      <xdr:colOff>581025</xdr:colOff>
      <xdr:row>45</xdr:row>
      <xdr:rowOff>142875</xdr:rowOff>
    </xdr:to>
    <xdr:sp macro="" textlink="">
      <xdr:nvSpPr>
        <xdr:cNvPr id="3" name="TextBox 1">
          <a:extLst>
            <a:ext uri="{FF2B5EF4-FFF2-40B4-BE49-F238E27FC236}">
              <a16:creationId xmlns:a16="http://schemas.microsoft.com/office/drawing/2014/main" id="{00000000-0008-0000-1300-000003000000}"/>
            </a:ext>
          </a:extLst>
        </xdr:cNvPr>
        <xdr:cNvSpPr txBox="1"/>
      </xdr:nvSpPr>
      <xdr:spPr>
        <a:xfrm>
          <a:off x="76200" y="876298"/>
          <a:ext cx="5762625" cy="79438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Scoring will be designated based upon the following criteria:</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Percent of Physician Specialties who submitted a claim for at least one telemedicine encounter in the most recent complete calendar year:</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Family Practice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10% or greater = 5 Points</a:t>
          </a:r>
        </a:p>
        <a:p>
          <a:r>
            <a:rPr lang="en-US" sz="1100">
              <a:solidFill>
                <a:schemeClr val="dk1"/>
              </a:solidFill>
              <a:effectLst/>
              <a:latin typeface="+mn-lt"/>
              <a:ea typeface="+mn-ea"/>
              <a:cs typeface="+mn-cs"/>
            </a:rPr>
            <a:t>3-9.99% = 3 Points</a:t>
          </a:r>
        </a:p>
        <a:p>
          <a:r>
            <a:rPr lang="en-US" sz="1100">
              <a:solidFill>
                <a:schemeClr val="dk1"/>
              </a:solidFill>
              <a:effectLst/>
              <a:latin typeface="+mn-lt"/>
              <a:ea typeface="+mn-ea"/>
              <a:cs typeface="+mn-cs"/>
            </a:rPr>
            <a:t>1-2.99% = 1 Point</a:t>
          </a:r>
        </a:p>
        <a:p>
          <a:r>
            <a:rPr lang="en-US" sz="1100">
              <a:solidFill>
                <a:schemeClr val="dk1"/>
              </a:solidFill>
              <a:effectLst/>
              <a:latin typeface="+mn-lt"/>
              <a:ea typeface="+mn-ea"/>
              <a:cs typeface="+mn-cs"/>
            </a:rPr>
            <a:t>Less than 1%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Internal Medicine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10% or greater = 5 Points</a:t>
          </a:r>
        </a:p>
        <a:p>
          <a:r>
            <a:rPr lang="en-US" sz="1100">
              <a:solidFill>
                <a:schemeClr val="dk1"/>
              </a:solidFill>
              <a:effectLst/>
              <a:latin typeface="+mn-lt"/>
              <a:ea typeface="+mn-ea"/>
              <a:cs typeface="+mn-cs"/>
            </a:rPr>
            <a:t>3-9.99% = 3 Points</a:t>
          </a:r>
        </a:p>
        <a:p>
          <a:r>
            <a:rPr lang="en-US" sz="1100">
              <a:solidFill>
                <a:schemeClr val="dk1"/>
              </a:solidFill>
              <a:effectLst/>
              <a:latin typeface="+mn-lt"/>
              <a:ea typeface="+mn-ea"/>
              <a:cs typeface="+mn-cs"/>
            </a:rPr>
            <a:t>1-2.99% = 1 Point</a:t>
          </a:r>
        </a:p>
        <a:p>
          <a:r>
            <a:rPr lang="en-US" sz="1100">
              <a:solidFill>
                <a:schemeClr val="dk1"/>
              </a:solidFill>
              <a:effectLst/>
              <a:latin typeface="+mn-lt"/>
              <a:ea typeface="+mn-ea"/>
              <a:cs typeface="+mn-cs"/>
            </a:rPr>
            <a:t>Less than 1% = 0 Points</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Pediatrics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10% or greater = 5 Points</a:t>
          </a:r>
        </a:p>
        <a:p>
          <a:r>
            <a:rPr lang="en-US" sz="1100">
              <a:solidFill>
                <a:schemeClr val="dk1"/>
              </a:solidFill>
              <a:effectLst/>
              <a:latin typeface="+mn-lt"/>
              <a:ea typeface="+mn-ea"/>
              <a:cs typeface="+mn-cs"/>
            </a:rPr>
            <a:t>3-9.99% = 3 Points</a:t>
          </a:r>
        </a:p>
        <a:p>
          <a:r>
            <a:rPr lang="en-US" sz="1100">
              <a:solidFill>
                <a:schemeClr val="dk1"/>
              </a:solidFill>
              <a:effectLst/>
              <a:latin typeface="+mn-lt"/>
              <a:ea typeface="+mn-ea"/>
              <a:cs typeface="+mn-cs"/>
            </a:rPr>
            <a:t>1-2.99% = 1 Point</a:t>
          </a:r>
        </a:p>
        <a:p>
          <a:r>
            <a:rPr lang="en-US" sz="1100">
              <a:solidFill>
                <a:schemeClr val="dk1"/>
              </a:solidFill>
              <a:effectLst/>
              <a:latin typeface="+mn-lt"/>
              <a:ea typeface="+mn-ea"/>
              <a:cs typeface="+mn-cs"/>
            </a:rPr>
            <a:t>Less than 1% = 0 Points</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Obstetrics/Gynecology</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10% or greater = 5 Points</a:t>
          </a:r>
        </a:p>
        <a:p>
          <a:r>
            <a:rPr lang="en-US" sz="1100">
              <a:solidFill>
                <a:schemeClr val="dk1"/>
              </a:solidFill>
              <a:effectLst/>
              <a:latin typeface="+mn-lt"/>
              <a:ea typeface="+mn-ea"/>
              <a:cs typeface="+mn-cs"/>
            </a:rPr>
            <a:t>3-9.99% = 3 Points</a:t>
          </a:r>
        </a:p>
        <a:p>
          <a:r>
            <a:rPr lang="en-US" sz="1100">
              <a:solidFill>
                <a:schemeClr val="dk1"/>
              </a:solidFill>
              <a:effectLst/>
              <a:latin typeface="+mn-lt"/>
              <a:ea typeface="+mn-ea"/>
              <a:cs typeface="+mn-cs"/>
            </a:rPr>
            <a:t>1-2.99% = 1 Point</a:t>
          </a:r>
        </a:p>
        <a:p>
          <a:r>
            <a:rPr lang="en-US" sz="1100">
              <a:solidFill>
                <a:schemeClr val="dk1"/>
              </a:solidFill>
              <a:effectLst/>
              <a:latin typeface="+mn-lt"/>
              <a:ea typeface="+mn-ea"/>
              <a:cs typeface="+mn-cs"/>
            </a:rPr>
            <a:t>Less than 1% = 0 Points</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Infectious Diseases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10% or greater = 5 Points</a:t>
          </a:r>
        </a:p>
        <a:p>
          <a:r>
            <a:rPr lang="en-US" sz="1100">
              <a:solidFill>
                <a:schemeClr val="dk1"/>
              </a:solidFill>
              <a:effectLst/>
              <a:latin typeface="+mn-lt"/>
              <a:ea typeface="+mn-ea"/>
              <a:cs typeface="+mn-cs"/>
            </a:rPr>
            <a:t>3-9.99% = 3 Points</a:t>
          </a:r>
        </a:p>
        <a:p>
          <a:r>
            <a:rPr lang="en-US" sz="1100">
              <a:solidFill>
                <a:schemeClr val="dk1"/>
              </a:solidFill>
              <a:effectLst/>
              <a:latin typeface="+mn-lt"/>
              <a:ea typeface="+mn-ea"/>
              <a:cs typeface="+mn-cs"/>
            </a:rPr>
            <a:t>1-2.99% = 1 Point</a:t>
          </a:r>
        </a:p>
        <a:p>
          <a:r>
            <a:rPr lang="en-US" sz="1100">
              <a:solidFill>
                <a:schemeClr val="dk1"/>
              </a:solidFill>
              <a:effectLst/>
              <a:latin typeface="+mn-lt"/>
              <a:ea typeface="+mn-ea"/>
              <a:cs typeface="+mn-cs"/>
            </a:rPr>
            <a:t>Less than 1% = 0 Points</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Adult Psychiatrists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10% or greater = 5 Points</a:t>
          </a:r>
        </a:p>
        <a:p>
          <a:r>
            <a:rPr lang="en-US" sz="1100">
              <a:solidFill>
                <a:schemeClr val="dk1"/>
              </a:solidFill>
              <a:effectLst/>
              <a:latin typeface="+mn-lt"/>
              <a:ea typeface="+mn-ea"/>
              <a:cs typeface="+mn-cs"/>
            </a:rPr>
            <a:t>3-9.99% = 3 Points</a:t>
          </a:r>
        </a:p>
        <a:p>
          <a:r>
            <a:rPr lang="en-US" sz="1100">
              <a:solidFill>
                <a:schemeClr val="dk1"/>
              </a:solidFill>
              <a:effectLst/>
              <a:latin typeface="+mn-lt"/>
              <a:ea typeface="+mn-ea"/>
              <a:cs typeface="+mn-cs"/>
            </a:rPr>
            <a:t>1-2.99% = 1 Point</a:t>
          </a:r>
        </a:p>
        <a:p>
          <a:r>
            <a:rPr lang="en-US" sz="1100">
              <a:solidFill>
                <a:schemeClr val="dk1"/>
              </a:solidFill>
              <a:effectLst/>
              <a:latin typeface="+mn-lt"/>
              <a:ea typeface="+mn-ea"/>
              <a:cs typeface="+mn-cs"/>
            </a:rPr>
            <a:t>Less than 1% = 0 Points</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Child Psychiatrists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10% or greater = 5 Points</a:t>
          </a:r>
        </a:p>
        <a:p>
          <a:r>
            <a:rPr lang="en-US" sz="1100">
              <a:solidFill>
                <a:schemeClr val="dk1"/>
              </a:solidFill>
              <a:effectLst/>
              <a:latin typeface="+mn-lt"/>
              <a:ea typeface="+mn-ea"/>
              <a:cs typeface="+mn-cs"/>
            </a:rPr>
            <a:t>3-9.99% = 3 Points</a:t>
          </a:r>
        </a:p>
        <a:p>
          <a:r>
            <a:rPr lang="en-US" sz="1100">
              <a:solidFill>
                <a:schemeClr val="dk1"/>
              </a:solidFill>
              <a:effectLst/>
              <a:latin typeface="+mn-lt"/>
              <a:ea typeface="+mn-ea"/>
              <a:cs typeface="+mn-cs"/>
            </a:rPr>
            <a:t>1-2.99% = 1 Point</a:t>
          </a:r>
        </a:p>
        <a:p>
          <a:r>
            <a:rPr lang="en-US" sz="1100">
              <a:solidFill>
                <a:schemeClr val="dk1"/>
              </a:solidFill>
              <a:effectLst/>
              <a:latin typeface="+mn-lt"/>
              <a:ea typeface="+mn-ea"/>
              <a:cs typeface="+mn-cs"/>
            </a:rPr>
            <a:t>Less than 1% = 0 Points</a:t>
          </a:r>
        </a:p>
      </xdr:txBody>
    </xdr:sp>
    <xdr:clientData/>
  </xdr:twoCellAnchor>
  <xdr:twoCellAnchor>
    <xdr:from>
      <xdr:col>9</xdr:col>
      <xdr:colOff>66675</xdr:colOff>
      <xdr:row>1</xdr:row>
      <xdr:rowOff>171449</xdr:rowOff>
    </xdr:from>
    <xdr:to>
      <xdr:col>17</xdr:col>
      <xdr:colOff>581025</xdr:colOff>
      <xdr:row>45</xdr:row>
      <xdr:rowOff>142875</xdr:rowOff>
    </xdr:to>
    <xdr:sp macro="" textlink="">
      <xdr:nvSpPr>
        <xdr:cNvPr id="6" name="TextBox 1">
          <a:extLst>
            <a:ext uri="{FF2B5EF4-FFF2-40B4-BE49-F238E27FC236}">
              <a16:creationId xmlns:a16="http://schemas.microsoft.com/office/drawing/2014/main" id="{00000000-0008-0000-1300-000006000000}"/>
            </a:ext>
          </a:extLst>
        </xdr:cNvPr>
        <xdr:cNvSpPr txBox="1"/>
      </xdr:nvSpPr>
      <xdr:spPr>
        <a:xfrm>
          <a:off x="5981700" y="466724"/>
          <a:ext cx="5772150" cy="8353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Emergency Medicine Physicians</a:t>
          </a:r>
          <a:endParaRPr lang="en-US">
            <a:effectLst/>
          </a:endParaRPr>
        </a:p>
        <a:p>
          <a:r>
            <a:rPr lang="en-US" sz="1100">
              <a:solidFill>
                <a:schemeClr val="dk1"/>
              </a:solidFill>
              <a:effectLst/>
              <a:latin typeface="+mn-lt"/>
              <a:ea typeface="+mn-ea"/>
              <a:cs typeface="+mn-cs"/>
            </a:rPr>
            <a:t>10% or greater = 5 Points</a:t>
          </a:r>
          <a:endParaRPr lang="en-US">
            <a:effectLst/>
          </a:endParaRPr>
        </a:p>
        <a:p>
          <a:r>
            <a:rPr lang="en-US" sz="1100">
              <a:solidFill>
                <a:schemeClr val="dk1"/>
              </a:solidFill>
              <a:effectLst/>
              <a:latin typeface="+mn-lt"/>
              <a:ea typeface="+mn-ea"/>
              <a:cs typeface="+mn-cs"/>
            </a:rPr>
            <a:t>3-9.99% = 3 Points</a:t>
          </a:r>
          <a:endParaRPr lang="en-US">
            <a:effectLst/>
          </a:endParaRPr>
        </a:p>
        <a:p>
          <a:r>
            <a:rPr lang="en-US" sz="1100">
              <a:solidFill>
                <a:schemeClr val="dk1"/>
              </a:solidFill>
              <a:effectLst/>
              <a:latin typeface="+mn-lt"/>
              <a:ea typeface="+mn-ea"/>
              <a:cs typeface="+mn-cs"/>
            </a:rPr>
            <a:t>1-2.99% = 1 Point</a:t>
          </a:r>
          <a:endParaRPr lang="en-US">
            <a:effectLst/>
          </a:endParaRPr>
        </a:p>
        <a:p>
          <a:r>
            <a:rPr lang="en-US" sz="1100">
              <a:solidFill>
                <a:schemeClr val="dk1"/>
              </a:solidFill>
              <a:effectLst/>
              <a:latin typeface="+mn-lt"/>
              <a:ea typeface="+mn-ea"/>
              <a:cs typeface="+mn-cs"/>
            </a:rPr>
            <a:t>Less than 1% = 0 Points</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Mental Health Therapists</a:t>
          </a:r>
          <a:endParaRPr lang="en-US">
            <a:effectLst/>
          </a:endParaRPr>
        </a:p>
        <a:p>
          <a:r>
            <a:rPr lang="en-US" sz="1100">
              <a:solidFill>
                <a:schemeClr val="dk1"/>
              </a:solidFill>
              <a:effectLst/>
              <a:latin typeface="+mn-lt"/>
              <a:ea typeface="+mn-ea"/>
              <a:cs typeface="+mn-cs"/>
            </a:rPr>
            <a:t>10% or greater = 5 Points</a:t>
          </a:r>
          <a:endParaRPr lang="en-US">
            <a:effectLst/>
          </a:endParaRPr>
        </a:p>
        <a:p>
          <a:r>
            <a:rPr lang="en-US" sz="1100">
              <a:solidFill>
                <a:schemeClr val="dk1"/>
              </a:solidFill>
              <a:effectLst/>
              <a:latin typeface="+mn-lt"/>
              <a:ea typeface="+mn-ea"/>
              <a:cs typeface="+mn-cs"/>
            </a:rPr>
            <a:t>3-9.99% = 3 Points</a:t>
          </a:r>
          <a:endParaRPr lang="en-US">
            <a:effectLst/>
          </a:endParaRPr>
        </a:p>
        <a:p>
          <a:r>
            <a:rPr lang="en-US" sz="1100">
              <a:solidFill>
                <a:schemeClr val="dk1"/>
              </a:solidFill>
              <a:effectLst/>
              <a:latin typeface="+mn-lt"/>
              <a:ea typeface="+mn-ea"/>
              <a:cs typeface="+mn-cs"/>
            </a:rPr>
            <a:t>1-2.99% = 1 Point</a:t>
          </a:r>
          <a:endParaRPr lang="en-US">
            <a:effectLst/>
          </a:endParaRPr>
        </a:p>
        <a:p>
          <a:r>
            <a:rPr lang="en-US" sz="1100">
              <a:solidFill>
                <a:schemeClr val="dk1"/>
              </a:solidFill>
              <a:effectLst/>
              <a:latin typeface="+mn-lt"/>
              <a:ea typeface="+mn-ea"/>
              <a:cs typeface="+mn-cs"/>
            </a:rPr>
            <a:t>Less than 1% = 0 Points</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Percent of Physician Specialties in the respondent’s proposed provider network who will offer telemedicine visits:</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Family Practice</a:t>
          </a:r>
          <a:endParaRPr lang="en-US">
            <a:effectLst/>
          </a:endParaRPr>
        </a:p>
        <a:p>
          <a:r>
            <a:rPr lang="en-US" sz="1100">
              <a:solidFill>
                <a:schemeClr val="dk1"/>
              </a:solidFill>
              <a:effectLst/>
              <a:latin typeface="+mn-lt"/>
              <a:ea typeface="+mn-ea"/>
              <a:cs typeface="+mn-cs"/>
            </a:rPr>
            <a:t>10% or greater = 15 Points</a:t>
          </a:r>
          <a:endParaRPr lang="en-US">
            <a:effectLst/>
          </a:endParaRPr>
        </a:p>
        <a:p>
          <a:r>
            <a:rPr lang="en-US" sz="1100">
              <a:solidFill>
                <a:schemeClr val="dk1"/>
              </a:solidFill>
              <a:effectLst/>
              <a:latin typeface="+mn-lt"/>
              <a:ea typeface="+mn-ea"/>
              <a:cs typeface="+mn-cs"/>
            </a:rPr>
            <a:t>3-9.99% = 10 Points</a:t>
          </a:r>
          <a:endParaRPr lang="en-US">
            <a:effectLst/>
          </a:endParaRPr>
        </a:p>
        <a:p>
          <a:r>
            <a:rPr lang="en-US" sz="1100">
              <a:solidFill>
                <a:schemeClr val="dk1"/>
              </a:solidFill>
              <a:effectLst/>
              <a:latin typeface="+mn-lt"/>
              <a:ea typeface="+mn-ea"/>
              <a:cs typeface="+mn-cs"/>
            </a:rPr>
            <a:t>1-2.99% = 5 Points</a:t>
          </a:r>
          <a:endParaRPr lang="en-US">
            <a:effectLst/>
          </a:endParaRPr>
        </a:p>
        <a:p>
          <a:r>
            <a:rPr lang="en-US" sz="1100">
              <a:solidFill>
                <a:schemeClr val="dk1"/>
              </a:solidFill>
              <a:effectLst/>
              <a:latin typeface="+mn-lt"/>
              <a:ea typeface="+mn-ea"/>
              <a:cs typeface="+mn-cs"/>
            </a:rPr>
            <a:t>Less than 1% = 0 Points</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Internal Medicine</a:t>
          </a:r>
          <a:endParaRPr lang="en-US">
            <a:effectLst/>
          </a:endParaRPr>
        </a:p>
        <a:p>
          <a:r>
            <a:rPr lang="en-US" sz="1100">
              <a:solidFill>
                <a:schemeClr val="dk1"/>
              </a:solidFill>
              <a:effectLst/>
              <a:latin typeface="+mn-lt"/>
              <a:ea typeface="+mn-ea"/>
              <a:cs typeface="+mn-cs"/>
            </a:rPr>
            <a:t>10% or greater = 15 Points</a:t>
          </a:r>
          <a:endParaRPr lang="en-US">
            <a:effectLst/>
          </a:endParaRPr>
        </a:p>
        <a:p>
          <a:r>
            <a:rPr lang="en-US" sz="1100">
              <a:solidFill>
                <a:schemeClr val="dk1"/>
              </a:solidFill>
              <a:effectLst/>
              <a:latin typeface="+mn-lt"/>
              <a:ea typeface="+mn-ea"/>
              <a:cs typeface="+mn-cs"/>
            </a:rPr>
            <a:t>3-9.99% = 10 Points</a:t>
          </a:r>
          <a:endParaRPr lang="en-US">
            <a:effectLst/>
          </a:endParaRPr>
        </a:p>
        <a:p>
          <a:r>
            <a:rPr lang="en-US" sz="1100">
              <a:solidFill>
                <a:schemeClr val="dk1"/>
              </a:solidFill>
              <a:effectLst/>
              <a:latin typeface="+mn-lt"/>
              <a:ea typeface="+mn-ea"/>
              <a:cs typeface="+mn-cs"/>
            </a:rPr>
            <a:t>1-2.99% = 5 Points</a:t>
          </a:r>
          <a:endParaRPr lang="en-US">
            <a:effectLst/>
          </a:endParaRPr>
        </a:p>
        <a:p>
          <a:r>
            <a:rPr lang="en-US" sz="1100">
              <a:solidFill>
                <a:schemeClr val="dk1"/>
              </a:solidFill>
              <a:effectLst/>
              <a:latin typeface="+mn-lt"/>
              <a:ea typeface="+mn-ea"/>
              <a:cs typeface="+mn-cs"/>
            </a:rPr>
            <a:t>Less than 1% = 0 Points</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Pediatrics</a:t>
          </a:r>
          <a:endParaRPr lang="en-US">
            <a:effectLst/>
          </a:endParaRPr>
        </a:p>
        <a:p>
          <a:r>
            <a:rPr lang="en-US" sz="1100">
              <a:solidFill>
                <a:schemeClr val="dk1"/>
              </a:solidFill>
              <a:effectLst/>
              <a:latin typeface="+mn-lt"/>
              <a:ea typeface="+mn-ea"/>
              <a:cs typeface="+mn-cs"/>
            </a:rPr>
            <a:t>10% or greater = 15 Points</a:t>
          </a:r>
          <a:endParaRPr lang="en-US">
            <a:effectLst/>
          </a:endParaRPr>
        </a:p>
        <a:p>
          <a:r>
            <a:rPr lang="en-US" sz="1100">
              <a:solidFill>
                <a:schemeClr val="dk1"/>
              </a:solidFill>
              <a:effectLst/>
              <a:latin typeface="+mn-lt"/>
              <a:ea typeface="+mn-ea"/>
              <a:cs typeface="+mn-cs"/>
            </a:rPr>
            <a:t>3-9.99% = 10 Points</a:t>
          </a:r>
          <a:endParaRPr lang="en-US">
            <a:effectLst/>
          </a:endParaRPr>
        </a:p>
        <a:p>
          <a:r>
            <a:rPr lang="en-US" sz="1100">
              <a:solidFill>
                <a:schemeClr val="dk1"/>
              </a:solidFill>
              <a:effectLst/>
              <a:latin typeface="+mn-lt"/>
              <a:ea typeface="+mn-ea"/>
              <a:cs typeface="+mn-cs"/>
            </a:rPr>
            <a:t>1-2.99% = 5 Points</a:t>
          </a:r>
          <a:endParaRPr lang="en-US">
            <a:effectLst/>
          </a:endParaRPr>
        </a:p>
        <a:p>
          <a:r>
            <a:rPr lang="en-US" sz="1100">
              <a:solidFill>
                <a:schemeClr val="dk1"/>
              </a:solidFill>
              <a:effectLst/>
              <a:latin typeface="+mn-lt"/>
              <a:ea typeface="+mn-ea"/>
              <a:cs typeface="+mn-cs"/>
            </a:rPr>
            <a:t>Less than 1% = 0 Points</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Obstetrics/Gynecology</a:t>
          </a:r>
          <a:endParaRPr lang="en-US">
            <a:effectLst/>
          </a:endParaRPr>
        </a:p>
        <a:p>
          <a:r>
            <a:rPr lang="en-US" sz="1100">
              <a:solidFill>
                <a:schemeClr val="dk1"/>
              </a:solidFill>
              <a:effectLst/>
              <a:latin typeface="+mn-lt"/>
              <a:ea typeface="+mn-ea"/>
              <a:cs typeface="+mn-cs"/>
            </a:rPr>
            <a:t>10% or greater = 15 Points</a:t>
          </a:r>
          <a:endParaRPr lang="en-US">
            <a:effectLst/>
          </a:endParaRPr>
        </a:p>
        <a:p>
          <a:r>
            <a:rPr lang="en-US" sz="1100">
              <a:solidFill>
                <a:schemeClr val="dk1"/>
              </a:solidFill>
              <a:effectLst/>
              <a:latin typeface="+mn-lt"/>
              <a:ea typeface="+mn-ea"/>
              <a:cs typeface="+mn-cs"/>
            </a:rPr>
            <a:t>3-9.99% = 10 Points</a:t>
          </a:r>
          <a:endParaRPr lang="en-US">
            <a:effectLst/>
          </a:endParaRPr>
        </a:p>
        <a:p>
          <a:r>
            <a:rPr lang="en-US" sz="1100">
              <a:solidFill>
                <a:schemeClr val="dk1"/>
              </a:solidFill>
              <a:effectLst/>
              <a:latin typeface="+mn-lt"/>
              <a:ea typeface="+mn-ea"/>
              <a:cs typeface="+mn-cs"/>
            </a:rPr>
            <a:t>1-2.99% = 5 Points</a:t>
          </a:r>
          <a:endParaRPr lang="en-US">
            <a:effectLst/>
          </a:endParaRPr>
        </a:p>
        <a:p>
          <a:r>
            <a:rPr lang="en-US" sz="1100">
              <a:solidFill>
                <a:schemeClr val="dk1"/>
              </a:solidFill>
              <a:effectLst/>
              <a:latin typeface="+mn-lt"/>
              <a:ea typeface="+mn-ea"/>
              <a:cs typeface="+mn-cs"/>
            </a:rPr>
            <a:t>Less than 1% = 0 Points</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Infectious Diseases</a:t>
          </a:r>
          <a:endParaRPr lang="en-US">
            <a:effectLst/>
          </a:endParaRPr>
        </a:p>
        <a:p>
          <a:r>
            <a:rPr lang="en-US" sz="1100">
              <a:solidFill>
                <a:schemeClr val="dk1"/>
              </a:solidFill>
              <a:effectLst/>
              <a:latin typeface="+mn-lt"/>
              <a:ea typeface="+mn-ea"/>
              <a:cs typeface="+mn-cs"/>
            </a:rPr>
            <a:t>10% or greater = 15 Points</a:t>
          </a:r>
          <a:endParaRPr lang="en-US">
            <a:effectLst/>
          </a:endParaRPr>
        </a:p>
        <a:p>
          <a:r>
            <a:rPr lang="en-US" sz="1100">
              <a:solidFill>
                <a:schemeClr val="dk1"/>
              </a:solidFill>
              <a:effectLst/>
              <a:latin typeface="+mn-lt"/>
              <a:ea typeface="+mn-ea"/>
              <a:cs typeface="+mn-cs"/>
            </a:rPr>
            <a:t>3-9.99% = 10 Points</a:t>
          </a:r>
          <a:endParaRPr lang="en-US">
            <a:effectLst/>
          </a:endParaRPr>
        </a:p>
        <a:p>
          <a:r>
            <a:rPr lang="en-US" sz="1100">
              <a:solidFill>
                <a:schemeClr val="dk1"/>
              </a:solidFill>
              <a:effectLst/>
              <a:latin typeface="+mn-lt"/>
              <a:ea typeface="+mn-ea"/>
              <a:cs typeface="+mn-cs"/>
            </a:rPr>
            <a:t>1-2.99% = 5 Points</a:t>
          </a:r>
          <a:endParaRPr lang="en-US">
            <a:effectLst/>
          </a:endParaRPr>
        </a:p>
        <a:p>
          <a:r>
            <a:rPr lang="en-US" sz="1100">
              <a:solidFill>
                <a:schemeClr val="dk1"/>
              </a:solidFill>
              <a:effectLst/>
              <a:latin typeface="+mn-lt"/>
              <a:ea typeface="+mn-ea"/>
              <a:cs typeface="+mn-cs"/>
            </a:rPr>
            <a:t>Less than 1% = 0 Points</a:t>
          </a:r>
          <a:endParaRPr lang="en-US">
            <a:effectLst/>
          </a:endParaRPr>
        </a:p>
        <a:p>
          <a:r>
            <a:rPr lang="en-US" sz="1100" b="1">
              <a:solidFill>
                <a:schemeClr val="dk1"/>
              </a:solidFill>
              <a:effectLst/>
              <a:latin typeface="+mn-lt"/>
              <a:ea typeface="+mn-ea"/>
              <a:cs typeface="+mn-cs"/>
            </a:rPr>
            <a:t> </a:t>
          </a:r>
          <a:endParaRPr lang="en-US" sz="1100"/>
        </a:p>
      </xdr:txBody>
    </xdr:sp>
    <xdr:clientData/>
  </xdr:twoCellAnchor>
  <xdr:twoCellAnchor>
    <xdr:from>
      <xdr:col>18</xdr:col>
      <xdr:colOff>57150</xdr:colOff>
      <xdr:row>1</xdr:row>
      <xdr:rowOff>171450</xdr:rowOff>
    </xdr:from>
    <xdr:to>
      <xdr:col>26</xdr:col>
      <xdr:colOff>590550</xdr:colOff>
      <xdr:row>32</xdr:row>
      <xdr:rowOff>161925</xdr:rowOff>
    </xdr:to>
    <xdr:sp macro="" textlink="">
      <xdr:nvSpPr>
        <xdr:cNvPr id="9" name="TextBox 4">
          <a:extLst>
            <a:ext uri="{FF2B5EF4-FFF2-40B4-BE49-F238E27FC236}">
              <a16:creationId xmlns:a16="http://schemas.microsoft.com/office/drawing/2014/main" id="{00000000-0008-0000-1300-000009000000}"/>
            </a:ext>
          </a:extLst>
        </xdr:cNvPr>
        <xdr:cNvSpPr txBox="1"/>
      </xdr:nvSpPr>
      <xdr:spPr>
        <a:xfrm>
          <a:off x="11887200" y="466725"/>
          <a:ext cx="5791200" cy="589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Adult Psychiatrists</a:t>
          </a:r>
          <a:endParaRPr lang="en-US">
            <a:effectLst/>
          </a:endParaRPr>
        </a:p>
        <a:p>
          <a:r>
            <a:rPr lang="en-US" sz="1100">
              <a:solidFill>
                <a:schemeClr val="dk1"/>
              </a:solidFill>
              <a:effectLst/>
              <a:latin typeface="+mn-lt"/>
              <a:ea typeface="+mn-ea"/>
              <a:cs typeface="+mn-cs"/>
            </a:rPr>
            <a:t>10% or greater = 15 Points</a:t>
          </a:r>
          <a:endParaRPr lang="en-US">
            <a:effectLst/>
          </a:endParaRPr>
        </a:p>
        <a:p>
          <a:r>
            <a:rPr lang="en-US" sz="1100">
              <a:solidFill>
                <a:schemeClr val="dk1"/>
              </a:solidFill>
              <a:effectLst/>
              <a:latin typeface="+mn-lt"/>
              <a:ea typeface="+mn-ea"/>
              <a:cs typeface="+mn-cs"/>
            </a:rPr>
            <a:t>3-9.99% = 10 Points</a:t>
          </a:r>
          <a:endParaRPr lang="en-US">
            <a:effectLst/>
          </a:endParaRPr>
        </a:p>
        <a:p>
          <a:r>
            <a:rPr lang="en-US" sz="1100">
              <a:solidFill>
                <a:schemeClr val="dk1"/>
              </a:solidFill>
              <a:effectLst/>
              <a:latin typeface="+mn-lt"/>
              <a:ea typeface="+mn-ea"/>
              <a:cs typeface="+mn-cs"/>
            </a:rPr>
            <a:t>1-2.99% = 5 Points</a:t>
          </a:r>
          <a:endParaRPr lang="en-US">
            <a:effectLst/>
          </a:endParaRPr>
        </a:p>
        <a:p>
          <a:r>
            <a:rPr lang="en-US" sz="1100">
              <a:solidFill>
                <a:schemeClr val="dk1"/>
              </a:solidFill>
              <a:effectLst/>
              <a:latin typeface="+mn-lt"/>
              <a:ea typeface="+mn-ea"/>
              <a:cs typeface="+mn-cs"/>
            </a:rPr>
            <a:t>Less than 1% = 0 Points</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Child Psychiatrists</a:t>
          </a:r>
          <a:endParaRPr lang="en-US">
            <a:effectLst/>
          </a:endParaRPr>
        </a:p>
        <a:p>
          <a:r>
            <a:rPr lang="en-US" sz="1100">
              <a:solidFill>
                <a:schemeClr val="dk1"/>
              </a:solidFill>
              <a:effectLst/>
              <a:latin typeface="+mn-lt"/>
              <a:ea typeface="+mn-ea"/>
              <a:cs typeface="+mn-cs"/>
            </a:rPr>
            <a:t>10% or greater = 15 Points</a:t>
          </a:r>
          <a:endParaRPr lang="en-US">
            <a:effectLst/>
          </a:endParaRPr>
        </a:p>
        <a:p>
          <a:r>
            <a:rPr lang="en-US" sz="1100">
              <a:solidFill>
                <a:schemeClr val="dk1"/>
              </a:solidFill>
              <a:effectLst/>
              <a:latin typeface="+mn-lt"/>
              <a:ea typeface="+mn-ea"/>
              <a:cs typeface="+mn-cs"/>
            </a:rPr>
            <a:t>3-9.99% = 10 Points</a:t>
          </a:r>
          <a:endParaRPr lang="en-US">
            <a:effectLst/>
          </a:endParaRPr>
        </a:p>
        <a:p>
          <a:r>
            <a:rPr lang="en-US" sz="1100">
              <a:solidFill>
                <a:schemeClr val="dk1"/>
              </a:solidFill>
              <a:effectLst/>
              <a:latin typeface="+mn-lt"/>
              <a:ea typeface="+mn-ea"/>
              <a:cs typeface="+mn-cs"/>
            </a:rPr>
            <a:t>1-2.99% = 5 Points</a:t>
          </a:r>
          <a:endParaRPr lang="en-US">
            <a:effectLst/>
          </a:endParaRPr>
        </a:p>
        <a:p>
          <a:r>
            <a:rPr lang="en-US" sz="1100">
              <a:solidFill>
                <a:schemeClr val="dk1"/>
              </a:solidFill>
              <a:effectLst/>
              <a:latin typeface="+mn-lt"/>
              <a:ea typeface="+mn-ea"/>
              <a:cs typeface="+mn-cs"/>
            </a:rPr>
            <a:t>Less than 1% = 0 Points</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Emergency Medicine Physicians</a:t>
          </a:r>
          <a:endParaRPr lang="en-US">
            <a:effectLst/>
          </a:endParaRPr>
        </a:p>
        <a:p>
          <a:r>
            <a:rPr lang="en-US" sz="1100">
              <a:solidFill>
                <a:schemeClr val="dk1"/>
              </a:solidFill>
              <a:effectLst/>
              <a:latin typeface="+mn-lt"/>
              <a:ea typeface="+mn-ea"/>
              <a:cs typeface="+mn-cs"/>
            </a:rPr>
            <a:t>10% or greater = 15 Points</a:t>
          </a:r>
          <a:endParaRPr lang="en-US">
            <a:effectLst/>
          </a:endParaRPr>
        </a:p>
        <a:p>
          <a:r>
            <a:rPr lang="en-US" sz="1100">
              <a:solidFill>
                <a:schemeClr val="dk1"/>
              </a:solidFill>
              <a:effectLst/>
              <a:latin typeface="+mn-lt"/>
              <a:ea typeface="+mn-ea"/>
              <a:cs typeface="+mn-cs"/>
            </a:rPr>
            <a:t>3-9.99% = 10 Points</a:t>
          </a:r>
          <a:endParaRPr lang="en-US">
            <a:effectLst/>
          </a:endParaRPr>
        </a:p>
        <a:p>
          <a:r>
            <a:rPr lang="en-US" sz="1100">
              <a:solidFill>
                <a:schemeClr val="dk1"/>
              </a:solidFill>
              <a:effectLst/>
              <a:latin typeface="+mn-lt"/>
              <a:ea typeface="+mn-ea"/>
              <a:cs typeface="+mn-cs"/>
            </a:rPr>
            <a:t>1-2.99% = 5 Points</a:t>
          </a:r>
          <a:endParaRPr lang="en-US">
            <a:effectLst/>
          </a:endParaRPr>
        </a:p>
        <a:p>
          <a:r>
            <a:rPr lang="en-US" sz="1100">
              <a:solidFill>
                <a:schemeClr val="dk1"/>
              </a:solidFill>
              <a:effectLst/>
              <a:latin typeface="+mn-lt"/>
              <a:ea typeface="+mn-ea"/>
              <a:cs typeface="+mn-cs"/>
            </a:rPr>
            <a:t>Less than 1% = 0 Points</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Mental Health Therapists</a:t>
          </a:r>
          <a:endParaRPr lang="en-US">
            <a:effectLst/>
          </a:endParaRPr>
        </a:p>
        <a:p>
          <a:r>
            <a:rPr lang="en-US" sz="1100">
              <a:solidFill>
                <a:schemeClr val="dk1"/>
              </a:solidFill>
              <a:effectLst/>
              <a:latin typeface="+mn-lt"/>
              <a:ea typeface="+mn-ea"/>
              <a:cs typeface="+mn-cs"/>
            </a:rPr>
            <a:t>10% or greater = 15 Points</a:t>
          </a:r>
          <a:endParaRPr lang="en-US">
            <a:effectLst/>
          </a:endParaRPr>
        </a:p>
        <a:p>
          <a:r>
            <a:rPr lang="en-US" sz="1100">
              <a:solidFill>
                <a:schemeClr val="dk1"/>
              </a:solidFill>
              <a:effectLst/>
              <a:latin typeface="+mn-lt"/>
              <a:ea typeface="+mn-ea"/>
              <a:cs typeface="+mn-cs"/>
            </a:rPr>
            <a:t>3-9.99% = 10 Points</a:t>
          </a:r>
          <a:endParaRPr lang="en-US">
            <a:effectLst/>
          </a:endParaRPr>
        </a:p>
        <a:p>
          <a:r>
            <a:rPr lang="en-US" sz="1100">
              <a:solidFill>
                <a:schemeClr val="dk1"/>
              </a:solidFill>
              <a:effectLst/>
              <a:latin typeface="+mn-lt"/>
              <a:ea typeface="+mn-ea"/>
              <a:cs typeface="+mn-cs"/>
            </a:rPr>
            <a:t>1-2.99% = 5 Points</a:t>
          </a:r>
          <a:endParaRPr lang="en-US">
            <a:effectLst/>
          </a:endParaRPr>
        </a:p>
        <a:p>
          <a:r>
            <a:rPr lang="en-US" sz="1100">
              <a:solidFill>
                <a:schemeClr val="dk1"/>
              </a:solidFill>
              <a:effectLst/>
              <a:latin typeface="+mn-lt"/>
              <a:ea typeface="+mn-ea"/>
              <a:cs typeface="+mn-cs"/>
            </a:rPr>
            <a:t>Less than 1% = 0 Points</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The total number of points is the sum of all individual points earned for all three contracts.</a:t>
          </a:r>
          <a:endParaRPr lang="en-US">
            <a:effectLst/>
          </a:endParaRPr>
        </a:p>
        <a:p>
          <a:r>
            <a:rPr lang="en-US" sz="1100" b="1">
              <a:solidFill>
                <a:schemeClr val="dk1"/>
              </a:solidFill>
              <a:effectLst/>
              <a:latin typeface="+mn-lt"/>
              <a:ea typeface="+mn-ea"/>
              <a:cs typeface="+mn-cs"/>
            </a:rPr>
            <a:t>The total earned points possible is 270.</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The maximum Final Score Possible is 120.</a:t>
          </a:r>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The Final Score is calculated by multiplying the percentage of total points earned out of total points possible by the maximum Final Score Possible.</a:t>
          </a:r>
          <a:endParaRPr lang="en-US" sz="1100">
            <a:solidFill>
              <a:schemeClr val="dk1"/>
            </a:solidFill>
            <a:effectLst/>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66674</xdr:colOff>
      <xdr:row>5</xdr:row>
      <xdr:rowOff>9524</xdr:rowOff>
    </xdr:from>
    <xdr:to>
      <xdr:col>7</xdr:col>
      <xdr:colOff>1666874</xdr:colOff>
      <xdr:row>44</xdr:row>
      <xdr:rowOff>114300</xdr:rowOff>
    </xdr:to>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66674" y="1171574"/>
          <a:ext cx="6200775" cy="7534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Scoring will be designated based upon the following criteria:</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Evidence-Based Programs for Children with Intense Behaviors Proposed to Offer</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Homebuilders</a:t>
          </a:r>
          <a:endParaRPr lang="en-US">
            <a:effectLst/>
          </a:endParaRPr>
        </a:p>
        <a:p>
          <a:r>
            <a:rPr lang="en-US" sz="1100">
              <a:solidFill>
                <a:schemeClr val="dk1"/>
              </a:solidFill>
              <a:effectLst/>
              <a:latin typeface="+mn-lt"/>
              <a:ea typeface="+mn-ea"/>
              <a:cs typeface="+mn-cs"/>
            </a:rPr>
            <a:t>Yes = 5 Points </a:t>
          </a:r>
          <a:endParaRPr lang="en-US">
            <a:effectLst/>
          </a:endParaRPr>
        </a:p>
        <a:p>
          <a:r>
            <a:rPr lang="en-US" sz="1100">
              <a:solidFill>
                <a:schemeClr val="dk1"/>
              </a:solidFill>
              <a:effectLst/>
              <a:latin typeface="+mn-lt"/>
              <a:ea typeface="+mn-ea"/>
              <a:cs typeface="+mn-cs"/>
            </a:rPr>
            <a:t>No = 0 Points</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Motivational Interviewing</a:t>
          </a:r>
          <a:endParaRPr lang="en-US">
            <a:effectLst/>
          </a:endParaRPr>
        </a:p>
        <a:p>
          <a:r>
            <a:rPr lang="en-US" sz="1100">
              <a:solidFill>
                <a:schemeClr val="dk1"/>
              </a:solidFill>
              <a:effectLst/>
              <a:latin typeface="+mn-lt"/>
              <a:ea typeface="+mn-ea"/>
              <a:cs typeface="+mn-cs"/>
            </a:rPr>
            <a:t>Yes = 5 Points </a:t>
          </a:r>
          <a:endParaRPr lang="en-US">
            <a:effectLst/>
          </a:endParaRPr>
        </a:p>
        <a:p>
          <a:r>
            <a:rPr lang="en-US" sz="1100">
              <a:solidFill>
                <a:schemeClr val="dk1"/>
              </a:solidFill>
              <a:effectLst/>
              <a:latin typeface="+mn-lt"/>
              <a:ea typeface="+mn-ea"/>
              <a:cs typeface="+mn-cs"/>
            </a:rPr>
            <a:t>No = 0 Points</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Multisystemic Therapy</a:t>
          </a:r>
          <a:endParaRPr lang="en-US">
            <a:effectLst/>
          </a:endParaRPr>
        </a:p>
        <a:p>
          <a:r>
            <a:rPr lang="en-US" sz="1100">
              <a:solidFill>
                <a:schemeClr val="dk1"/>
              </a:solidFill>
              <a:effectLst/>
              <a:latin typeface="+mn-lt"/>
              <a:ea typeface="+mn-ea"/>
              <a:cs typeface="+mn-cs"/>
            </a:rPr>
            <a:t>Yes = 5 Points </a:t>
          </a:r>
          <a:endParaRPr lang="en-US">
            <a:effectLst/>
          </a:endParaRPr>
        </a:p>
        <a:p>
          <a:r>
            <a:rPr lang="en-US" sz="1100">
              <a:solidFill>
                <a:schemeClr val="dk1"/>
              </a:solidFill>
              <a:effectLst/>
              <a:latin typeface="+mn-lt"/>
              <a:ea typeface="+mn-ea"/>
              <a:cs typeface="+mn-cs"/>
            </a:rPr>
            <a:t>No = 0 Points</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Parent-Child interaction Therapy</a:t>
          </a:r>
          <a:endParaRPr lang="en-US">
            <a:effectLst/>
          </a:endParaRPr>
        </a:p>
        <a:p>
          <a:r>
            <a:rPr lang="en-US" sz="1100">
              <a:solidFill>
                <a:schemeClr val="dk1"/>
              </a:solidFill>
              <a:effectLst/>
              <a:latin typeface="+mn-lt"/>
              <a:ea typeface="+mn-ea"/>
              <a:cs typeface="+mn-cs"/>
            </a:rPr>
            <a:t>Yes = 5 Points </a:t>
          </a:r>
          <a:endParaRPr lang="en-US">
            <a:effectLst/>
          </a:endParaRPr>
        </a:p>
        <a:p>
          <a:r>
            <a:rPr lang="en-US" sz="1100">
              <a:solidFill>
                <a:schemeClr val="dk1"/>
              </a:solidFill>
              <a:effectLst/>
              <a:latin typeface="+mn-lt"/>
              <a:ea typeface="+mn-ea"/>
              <a:cs typeface="+mn-cs"/>
            </a:rPr>
            <a:t>No = 0 Points</a:t>
          </a:r>
        </a:p>
        <a:p>
          <a:endParaRPr lang="en-US">
            <a:effectLst/>
          </a:endParaRPr>
        </a:p>
        <a:p>
          <a:r>
            <a:rPr lang="en-US" sz="1100" b="1">
              <a:solidFill>
                <a:schemeClr val="dk1"/>
              </a:solidFill>
              <a:effectLst/>
              <a:latin typeface="+mn-lt"/>
              <a:ea typeface="+mn-ea"/>
              <a:cs typeface="+mn-cs"/>
            </a:rPr>
            <a:t>Functional Family Therapy</a:t>
          </a:r>
          <a:endParaRPr lang="en-US">
            <a:effectLst/>
          </a:endParaRPr>
        </a:p>
        <a:p>
          <a:r>
            <a:rPr lang="en-US" sz="1100">
              <a:solidFill>
                <a:schemeClr val="dk1"/>
              </a:solidFill>
              <a:effectLst/>
              <a:latin typeface="+mn-lt"/>
              <a:ea typeface="+mn-ea"/>
              <a:cs typeface="+mn-cs"/>
            </a:rPr>
            <a:t>Yes = 5 Points </a:t>
          </a:r>
          <a:endParaRPr lang="en-US">
            <a:effectLst/>
          </a:endParaRPr>
        </a:p>
        <a:p>
          <a:r>
            <a:rPr lang="en-US" sz="1100">
              <a:solidFill>
                <a:schemeClr val="dk1"/>
              </a:solidFill>
              <a:effectLst/>
              <a:latin typeface="+mn-lt"/>
              <a:ea typeface="+mn-ea"/>
              <a:cs typeface="+mn-cs"/>
            </a:rPr>
            <a:t>No = 0 Points</a:t>
          </a:r>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Parents as Teachers</a:t>
          </a:r>
          <a:endParaRPr lang="en-US">
            <a:effectLst/>
          </a:endParaRPr>
        </a:p>
        <a:p>
          <a:r>
            <a:rPr lang="en-US" sz="1100">
              <a:solidFill>
                <a:schemeClr val="dk1"/>
              </a:solidFill>
              <a:effectLst/>
              <a:latin typeface="+mn-lt"/>
              <a:ea typeface="+mn-ea"/>
              <a:cs typeface="+mn-cs"/>
            </a:rPr>
            <a:t>Yes = 5 Points </a:t>
          </a:r>
          <a:endParaRPr lang="en-US">
            <a:effectLst/>
          </a:endParaRPr>
        </a:p>
        <a:p>
          <a:r>
            <a:rPr lang="en-US" sz="1100">
              <a:solidFill>
                <a:schemeClr val="dk1"/>
              </a:solidFill>
              <a:effectLst/>
              <a:latin typeface="+mn-lt"/>
              <a:ea typeface="+mn-ea"/>
              <a:cs typeface="+mn-cs"/>
            </a:rPr>
            <a:t>No = 0 Points</a:t>
          </a:r>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Brief Strategic Family Therapy</a:t>
          </a:r>
          <a:endParaRPr lang="en-US">
            <a:effectLst/>
          </a:endParaRPr>
        </a:p>
        <a:p>
          <a:r>
            <a:rPr lang="en-US" sz="1100">
              <a:solidFill>
                <a:schemeClr val="dk1"/>
              </a:solidFill>
              <a:effectLst/>
              <a:latin typeface="+mn-lt"/>
              <a:ea typeface="+mn-ea"/>
              <a:cs typeface="+mn-cs"/>
            </a:rPr>
            <a:t>Yes = 5 Points </a:t>
          </a:r>
          <a:endParaRPr lang="en-US">
            <a:effectLst/>
          </a:endParaRPr>
        </a:p>
        <a:p>
          <a:r>
            <a:rPr lang="en-US" sz="1100">
              <a:solidFill>
                <a:schemeClr val="dk1"/>
              </a:solidFill>
              <a:effectLst/>
              <a:latin typeface="+mn-lt"/>
              <a:ea typeface="+mn-ea"/>
              <a:cs typeface="+mn-cs"/>
            </a:rPr>
            <a:t>No = 0 Points</a:t>
          </a:r>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Healthy Families</a:t>
          </a:r>
          <a:endParaRPr lang="en-US">
            <a:effectLst/>
          </a:endParaRPr>
        </a:p>
        <a:p>
          <a:r>
            <a:rPr lang="en-US" sz="1100">
              <a:solidFill>
                <a:schemeClr val="dk1"/>
              </a:solidFill>
              <a:effectLst/>
              <a:latin typeface="+mn-lt"/>
              <a:ea typeface="+mn-ea"/>
              <a:cs typeface="+mn-cs"/>
            </a:rPr>
            <a:t>Yes = 5 Points </a:t>
          </a:r>
          <a:endParaRPr lang="en-US">
            <a:effectLst/>
          </a:endParaRPr>
        </a:p>
        <a:p>
          <a:r>
            <a:rPr lang="en-US" sz="1100">
              <a:solidFill>
                <a:schemeClr val="dk1"/>
              </a:solidFill>
              <a:effectLst/>
              <a:latin typeface="+mn-lt"/>
              <a:ea typeface="+mn-ea"/>
              <a:cs typeface="+mn-cs"/>
            </a:rPr>
            <a:t>No = 0 Points</a:t>
          </a:r>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Nurse Family Partnership</a:t>
          </a:r>
          <a:endParaRPr lang="en-US">
            <a:effectLst/>
          </a:endParaRPr>
        </a:p>
        <a:p>
          <a:r>
            <a:rPr lang="en-US" sz="1100">
              <a:solidFill>
                <a:schemeClr val="dk1"/>
              </a:solidFill>
              <a:effectLst/>
              <a:latin typeface="+mn-lt"/>
              <a:ea typeface="+mn-ea"/>
              <a:cs typeface="+mn-cs"/>
            </a:rPr>
            <a:t>Yes = 5 Points </a:t>
          </a:r>
          <a:endParaRPr lang="en-US">
            <a:effectLst/>
          </a:endParaRPr>
        </a:p>
        <a:p>
          <a:r>
            <a:rPr lang="en-US" sz="1100">
              <a:solidFill>
                <a:schemeClr val="dk1"/>
              </a:solidFill>
              <a:effectLst/>
              <a:latin typeface="+mn-lt"/>
              <a:ea typeface="+mn-ea"/>
              <a:cs typeface="+mn-cs"/>
            </a:rPr>
            <a:t>No = 0 Points</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Recipient Selected</a:t>
          </a:r>
          <a:r>
            <a:rPr lang="en-US" sz="1100" b="1" baseline="0">
              <a:solidFill>
                <a:schemeClr val="dk1"/>
              </a:solidFill>
              <a:effectLst/>
              <a:latin typeface="+mn-lt"/>
              <a:ea typeface="+mn-ea"/>
              <a:cs typeface="+mn-cs"/>
            </a:rPr>
            <a:t> "Yes" to All of the Above Services</a:t>
          </a:r>
          <a:endParaRPr lang="en-US">
            <a:effectLst/>
          </a:endParaRPr>
        </a:p>
        <a:p>
          <a:r>
            <a:rPr lang="en-US" sz="1100">
              <a:solidFill>
                <a:schemeClr val="dk1"/>
              </a:solidFill>
              <a:effectLst/>
              <a:latin typeface="+mn-lt"/>
              <a:ea typeface="+mn-ea"/>
              <a:cs typeface="+mn-cs"/>
            </a:rPr>
            <a:t>Yes = 5 Points </a:t>
          </a:r>
          <a:endParaRPr lang="en-US">
            <a:effectLst/>
          </a:endParaRPr>
        </a:p>
        <a:p>
          <a:r>
            <a:rPr lang="en-US" sz="1100">
              <a:solidFill>
                <a:schemeClr val="dk1"/>
              </a:solidFill>
              <a:effectLst/>
              <a:latin typeface="+mn-lt"/>
              <a:ea typeface="+mn-ea"/>
              <a:cs typeface="+mn-cs"/>
            </a:rPr>
            <a:t>No = 0 Points</a:t>
          </a:r>
          <a:endParaRPr lang="en-US">
            <a:effectLst/>
          </a:endParaRPr>
        </a:p>
      </xdr:txBody>
    </xdr:sp>
    <xdr:clientData/>
  </xdr:twoCellAnchor>
  <xdr:twoCellAnchor>
    <xdr:from>
      <xdr:col>8</xdr:col>
      <xdr:colOff>66675</xdr:colOff>
      <xdr:row>3</xdr:row>
      <xdr:rowOff>9525</xdr:rowOff>
    </xdr:from>
    <xdr:to>
      <xdr:col>12</xdr:col>
      <xdr:colOff>981075</xdr:colOff>
      <xdr:row>10</xdr:row>
      <xdr:rowOff>76200</xdr:rowOff>
    </xdr:to>
    <xdr:sp macro="" textlink="">
      <xdr:nvSpPr>
        <xdr:cNvPr id="3" name="TextBox 2">
          <a:extLst>
            <a:ext uri="{FF2B5EF4-FFF2-40B4-BE49-F238E27FC236}">
              <a16:creationId xmlns:a16="http://schemas.microsoft.com/office/drawing/2014/main" id="{00000000-0008-0000-1500-000003000000}"/>
            </a:ext>
          </a:extLst>
        </xdr:cNvPr>
        <xdr:cNvSpPr txBox="1"/>
      </xdr:nvSpPr>
      <xdr:spPr>
        <a:xfrm>
          <a:off x="6419850" y="790575"/>
          <a:ext cx="6257925" cy="1400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The total number of points is the sum of all individual points earned.</a:t>
          </a:r>
          <a:endParaRPr lang="en-US">
            <a:effectLst/>
          </a:endParaRPr>
        </a:p>
        <a:p>
          <a:r>
            <a:rPr lang="en-US" sz="1100" b="1">
              <a:solidFill>
                <a:schemeClr val="dk1"/>
              </a:solidFill>
              <a:effectLst/>
              <a:latin typeface="+mn-lt"/>
              <a:ea typeface="+mn-ea"/>
              <a:cs typeface="+mn-cs"/>
            </a:rPr>
            <a:t>The total earned points possible is 50.</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The maximum Final Score Possible is 50.</a:t>
          </a:r>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The Final Score is calculated by multiplying the percentage of total points earned out of total points possible by the maximum Final Score Possible.</a:t>
          </a:r>
          <a:endParaRPr lang="en-US">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57149</xdr:colOff>
      <xdr:row>4</xdr:row>
      <xdr:rowOff>1</xdr:rowOff>
    </xdr:from>
    <xdr:to>
      <xdr:col>8</xdr:col>
      <xdr:colOff>1038224</xdr:colOff>
      <xdr:row>18</xdr:row>
      <xdr:rowOff>152401</xdr:rowOff>
    </xdr:to>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57149" y="971551"/>
          <a:ext cx="5857875" cy="281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Scoring will be designated based upon the following criteria:</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 Fully Executed Agreement/Contract</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100% = 40 Points</a:t>
          </a:r>
        </a:p>
        <a:p>
          <a:r>
            <a:rPr lang="en-US" sz="1100">
              <a:solidFill>
                <a:schemeClr val="dk1"/>
              </a:solidFill>
              <a:effectLst/>
              <a:latin typeface="+mn-lt"/>
              <a:ea typeface="+mn-ea"/>
              <a:cs typeface="+mn-cs"/>
            </a:rPr>
            <a:t>90-99.99% = 30 Points</a:t>
          </a:r>
        </a:p>
        <a:p>
          <a:r>
            <a:rPr lang="en-US" sz="1100">
              <a:solidFill>
                <a:schemeClr val="dk1"/>
              </a:solidFill>
              <a:effectLst/>
              <a:latin typeface="+mn-lt"/>
              <a:ea typeface="+mn-ea"/>
              <a:cs typeface="+mn-cs"/>
            </a:rPr>
            <a:t>75-89.99% = 20 Points</a:t>
          </a:r>
        </a:p>
        <a:p>
          <a:r>
            <a:rPr lang="en-US" sz="1100">
              <a:solidFill>
                <a:schemeClr val="dk1"/>
              </a:solidFill>
              <a:effectLst/>
              <a:latin typeface="+mn-lt"/>
              <a:ea typeface="+mn-ea"/>
              <a:cs typeface="+mn-cs"/>
            </a:rPr>
            <a:t>60-74.99% = 10 Points</a:t>
          </a:r>
        </a:p>
        <a:p>
          <a:r>
            <a:rPr lang="en-US" sz="1100">
              <a:solidFill>
                <a:schemeClr val="dk1"/>
              </a:solidFill>
              <a:effectLst/>
              <a:latin typeface="+mn-lt"/>
              <a:ea typeface="+mn-ea"/>
              <a:cs typeface="+mn-cs"/>
            </a:rPr>
            <a:t>40-59.99% = 5 Points</a:t>
          </a:r>
        </a:p>
        <a:p>
          <a:r>
            <a:rPr lang="en-US" sz="1100">
              <a:solidFill>
                <a:schemeClr val="dk1"/>
              </a:solidFill>
              <a:effectLst/>
              <a:latin typeface="+mn-lt"/>
              <a:ea typeface="+mn-ea"/>
              <a:cs typeface="+mn-cs"/>
            </a:rPr>
            <a:t>0-39.99%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The total earned points possible is 40.</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 maximum Final Score Possible is 80.</a:t>
          </a:r>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The Final Score is calculated by multiplying the percentage of total points earned out of total points possible by the maximum Final Score Possible.</a:t>
          </a:r>
          <a:endParaRPr lang="en-US" sz="1100">
            <a:solidFill>
              <a:schemeClr val="dk1"/>
            </a:solidFill>
            <a:effectLst/>
            <a:latin typeface="+mn-lt"/>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xdr:colOff>
      <xdr:row>4</xdr:row>
      <xdr:rowOff>0</xdr:rowOff>
    </xdr:from>
    <xdr:to>
      <xdr:col>8</xdr:col>
      <xdr:colOff>523875</xdr:colOff>
      <xdr:row>44</xdr:row>
      <xdr:rowOff>104776</xdr:rowOff>
    </xdr:to>
    <xdr:sp macro="" textlink="">
      <xdr:nvSpPr>
        <xdr:cNvPr id="4" name="TextBox 1">
          <a:extLst>
            <a:ext uri="{FF2B5EF4-FFF2-40B4-BE49-F238E27FC236}">
              <a16:creationId xmlns:a16="http://schemas.microsoft.com/office/drawing/2014/main" id="{00000000-0008-0000-1900-000004000000}"/>
            </a:ext>
          </a:extLst>
        </xdr:cNvPr>
        <xdr:cNvSpPr txBox="1"/>
      </xdr:nvSpPr>
      <xdr:spPr>
        <a:xfrm>
          <a:off x="57150" y="971550"/>
          <a:ext cx="5343525" cy="7724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Scoring will be designated based upon the following criteria for each entry:</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Number of unique, contracted CBOs* with principal address in Florida for the upcoming contract period.</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Greater than 19 CBOs = 20 Points</a:t>
          </a:r>
        </a:p>
        <a:p>
          <a:r>
            <a:rPr lang="en-US" sz="1100">
              <a:solidFill>
                <a:schemeClr val="dk1"/>
              </a:solidFill>
              <a:effectLst/>
              <a:latin typeface="+mn-lt"/>
              <a:ea typeface="+mn-ea"/>
              <a:cs typeface="+mn-cs"/>
            </a:rPr>
            <a:t>10-19 CBOs = 10 Points</a:t>
          </a:r>
        </a:p>
        <a:p>
          <a:r>
            <a:rPr lang="en-US" sz="1100">
              <a:solidFill>
                <a:schemeClr val="dk1"/>
              </a:solidFill>
              <a:effectLst/>
              <a:latin typeface="+mn-lt"/>
              <a:ea typeface="+mn-ea"/>
              <a:cs typeface="+mn-cs"/>
            </a:rPr>
            <a:t>5-9 CBOs = 5 Points</a:t>
          </a:r>
        </a:p>
        <a:p>
          <a:r>
            <a:rPr lang="en-US" sz="1100">
              <a:solidFill>
                <a:schemeClr val="dk1"/>
              </a:solidFill>
              <a:effectLst/>
              <a:latin typeface="+mn-lt"/>
              <a:ea typeface="+mn-ea"/>
              <a:cs typeface="+mn-cs"/>
            </a:rPr>
            <a:t>1-4 CBOs = 1 Point</a:t>
          </a:r>
        </a:p>
        <a:p>
          <a:r>
            <a:rPr lang="en-US" sz="1100">
              <a:solidFill>
                <a:schemeClr val="dk1"/>
              </a:solidFill>
              <a:effectLst/>
              <a:latin typeface="+mn-lt"/>
              <a:ea typeface="+mn-ea"/>
              <a:cs typeface="+mn-cs"/>
            </a:rPr>
            <a:t>0 CBOs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a:t>
          </a:r>
          <a:r>
            <a:rPr lang="en-US" sz="1100" b="1" i="1" u="sng">
              <a:solidFill>
                <a:schemeClr val="dk1"/>
              </a:solidFill>
              <a:effectLst/>
              <a:latin typeface="+mn-lt"/>
              <a:ea typeface="+mn-ea"/>
              <a:cs typeface="+mn-cs"/>
            </a:rPr>
            <a:t>Note</a:t>
          </a:r>
          <a:r>
            <a:rPr lang="en-US" sz="1100">
              <a:solidFill>
                <a:schemeClr val="dk1"/>
              </a:solidFill>
              <a:effectLst/>
              <a:latin typeface="+mn-lt"/>
              <a:ea typeface="+mn-ea"/>
              <a:cs typeface="+mn-cs"/>
            </a:rPr>
            <a:t>: A CBO with more than one contract with the Respondent for community-based services and supports shall be considered one CBO.</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Number of these unique, contracted CBOs (up to 20) that provides services or supports in at least one of the following areas: </a:t>
          </a: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 improving birth outcomes, </a:t>
          </a: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 improving mental health of children or adolescents, or </a:t>
          </a: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 increasing home and community-based services and supports.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Greater than 19 CBOs = 20 Points</a:t>
          </a:r>
        </a:p>
        <a:p>
          <a:r>
            <a:rPr lang="en-US" sz="1100">
              <a:solidFill>
                <a:schemeClr val="dk1"/>
              </a:solidFill>
              <a:effectLst/>
              <a:latin typeface="+mn-lt"/>
              <a:ea typeface="+mn-ea"/>
              <a:cs typeface="+mn-cs"/>
            </a:rPr>
            <a:t>Each CBO up to 19 = 1 Point each</a:t>
          </a:r>
        </a:p>
        <a:p>
          <a:r>
            <a:rPr lang="en-US" sz="1100">
              <a:solidFill>
                <a:schemeClr val="dk1"/>
              </a:solidFill>
              <a:effectLst/>
              <a:latin typeface="+mn-lt"/>
              <a:ea typeface="+mn-ea"/>
              <a:cs typeface="+mn-cs"/>
            </a:rPr>
            <a:t>0 CBOs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Number of AHCA regions (up to 8)</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where at least one of these unique, contracted CBOs provides services or supports.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8-9 Regions = 8 Points</a:t>
          </a:r>
        </a:p>
        <a:p>
          <a:r>
            <a:rPr lang="en-US" sz="1100">
              <a:solidFill>
                <a:schemeClr val="dk1"/>
              </a:solidFill>
              <a:effectLst/>
              <a:latin typeface="+mn-lt"/>
              <a:ea typeface="+mn-ea"/>
              <a:cs typeface="+mn-cs"/>
            </a:rPr>
            <a:t>7 Regions = 7 Points</a:t>
          </a:r>
        </a:p>
        <a:p>
          <a:r>
            <a:rPr lang="en-US" sz="1100">
              <a:solidFill>
                <a:schemeClr val="dk1"/>
              </a:solidFill>
              <a:effectLst/>
              <a:latin typeface="+mn-lt"/>
              <a:ea typeface="+mn-ea"/>
              <a:cs typeface="+mn-cs"/>
            </a:rPr>
            <a:t>6 Regions = 6 Points</a:t>
          </a:r>
        </a:p>
        <a:p>
          <a:r>
            <a:rPr lang="en-US" sz="1100">
              <a:solidFill>
                <a:schemeClr val="dk1"/>
              </a:solidFill>
              <a:effectLst/>
              <a:latin typeface="+mn-lt"/>
              <a:ea typeface="+mn-ea"/>
              <a:cs typeface="+mn-cs"/>
            </a:rPr>
            <a:t>5 Regions = 5 Points</a:t>
          </a:r>
        </a:p>
        <a:p>
          <a:r>
            <a:rPr lang="en-US" sz="1100">
              <a:solidFill>
                <a:schemeClr val="dk1"/>
              </a:solidFill>
              <a:effectLst/>
              <a:latin typeface="+mn-lt"/>
              <a:ea typeface="+mn-ea"/>
              <a:cs typeface="+mn-cs"/>
            </a:rPr>
            <a:t>4 Regions = 4 Points</a:t>
          </a:r>
        </a:p>
        <a:p>
          <a:r>
            <a:rPr lang="en-US" sz="1100">
              <a:solidFill>
                <a:schemeClr val="dk1"/>
              </a:solidFill>
              <a:effectLst/>
              <a:latin typeface="+mn-lt"/>
              <a:ea typeface="+mn-ea"/>
              <a:cs typeface="+mn-cs"/>
            </a:rPr>
            <a:t>3 Regions = 3 Regions</a:t>
          </a:r>
        </a:p>
        <a:p>
          <a:r>
            <a:rPr lang="en-US" sz="1100">
              <a:solidFill>
                <a:schemeClr val="dk1"/>
              </a:solidFill>
              <a:effectLst/>
              <a:latin typeface="+mn-lt"/>
              <a:ea typeface="+mn-ea"/>
              <a:cs typeface="+mn-cs"/>
            </a:rPr>
            <a:t>2 Regions = 2 Points</a:t>
          </a:r>
        </a:p>
        <a:p>
          <a:r>
            <a:rPr lang="en-US" sz="1100">
              <a:solidFill>
                <a:schemeClr val="dk1"/>
              </a:solidFill>
              <a:effectLst/>
              <a:latin typeface="+mn-lt"/>
              <a:ea typeface="+mn-ea"/>
              <a:cs typeface="+mn-cs"/>
            </a:rPr>
            <a:t>1 Region = 1 Point</a:t>
          </a:r>
        </a:p>
        <a:p>
          <a:r>
            <a:rPr lang="en-US" sz="1100">
              <a:solidFill>
                <a:schemeClr val="dk1"/>
              </a:solidFill>
              <a:effectLst/>
              <a:latin typeface="+mn-lt"/>
              <a:ea typeface="+mn-ea"/>
              <a:cs typeface="+mn-cs"/>
            </a:rPr>
            <a:t>0 Regions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Percentage of Florida counties with at least one of these unique, contracted CBOs providing services and supports to enrollees.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100% of Florida counties = 20 Points</a:t>
          </a:r>
        </a:p>
        <a:p>
          <a:r>
            <a:rPr lang="en-US" sz="1100">
              <a:solidFill>
                <a:schemeClr val="dk1"/>
              </a:solidFill>
              <a:effectLst/>
              <a:latin typeface="+mn-lt"/>
              <a:ea typeface="+mn-ea"/>
              <a:cs typeface="+mn-cs"/>
            </a:rPr>
            <a:t>50-99.99% of Florida counties = 10 Points</a:t>
          </a:r>
        </a:p>
        <a:p>
          <a:r>
            <a:rPr lang="en-US" sz="1100">
              <a:solidFill>
                <a:schemeClr val="dk1"/>
              </a:solidFill>
              <a:effectLst/>
              <a:latin typeface="+mn-lt"/>
              <a:ea typeface="+mn-ea"/>
              <a:cs typeface="+mn-cs"/>
            </a:rPr>
            <a:t>25-49.99% of Florida counties = 5 Points</a:t>
          </a:r>
        </a:p>
        <a:p>
          <a:r>
            <a:rPr lang="en-US" sz="1100">
              <a:solidFill>
                <a:schemeClr val="dk1"/>
              </a:solidFill>
              <a:effectLst/>
              <a:latin typeface="+mn-lt"/>
              <a:ea typeface="+mn-ea"/>
              <a:cs typeface="+mn-cs"/>
            </a:rPr>
            <a:t>1-24.99% of Florida counties = 1 Point</a:t>
          </a:r>
        </a:p>
        <a:p>
          <a:r>
            <a:rPr lang="en-US" sz="1100">
              <a:solidFill>
                <a:schemeClr val="dk1"/>
              </a:solidFill>
              <a:effectLst/>
              <a:latin typeface="+mn-lt"/>
              <a:ea typeface="+mn-ea"/>
              <a:cs typeface="+mn-cs"/>
            </a:rPr>
            <a:t>Less than 1% of Florida counties = 0 Points</a:t>
          </a:r>
        </a:p>
      </xdr:txBody>
    </xdr:sp>
    <xdr:clientData/>
  </xdr:twoCellAnchor>
  <xdr:twoCellAnchor>
    <xdr:from>
      <xdr:col>9</xdr:col>
      <xdr:colOff>76200</xdr:colOff>
      <xdr:row>2</xdr:row>
      <xdr:rowOff>161925</xdr:rowOff>
    </xdr:from>
    <xdr:to>
      <xdr:col>17</xdr:col>
      <xdr:colOff>533400</xdr:colOff>
      <xdr:row>33</xdr:row>
      <xdr:rowOff>76200</xdr:rowOff>
    </xdr:to>
    <xdr:sp macro="" textlink="">
      <xdr:nvSpPr>
        <xdr:cNvPr id="3" name="TextBox 2">
          <a:extLst>
            <a:ext uri="{FF2B5EF4-FFF2-40B4-BE49-F238E27FC236}">
              <a16:creationId xmlns:a16="http://schemas.microsoft.com/office/drawing/2014/main" id="{00000000-0008-0000-1900-000003000000}"/>
            </a:ext>
          </a:extLst>
        </xdr:cNvPr>
        <xdr:cNvSpPr txBox="1"/>
      </xdr:nvSpPr>
      <xdr:spPr>
        <a:xfrm>
          <a:off x="5562600" y="752475"/>
          <a:ext cx="5334000" cy="5819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 of these unique, contracted CBOs (up to 20) that uses a closed-loop software system to receive enrollee referrals from health care providers and verify with the Respondent that services or supports were provided to enrollees. </a:t>
          </a:r>
          <a:endParaRPr lang="en-US">
            <a:effectLst/>
          </a:endParaRPr>
        </a:p>
        <a:p>
          <a:r>
            <a:rPr lang="en-US" sz="1100">
              <a:solidFill>
                <a:schemeClr val="dk1"/>
              </a:solidFill>
              <a:effectLst/>
              <a:latin typeface="+mn-lt"/>
              <a:ea typeface="+mn-ea"/>
              <a:cs typeface="+mn-cs"/>
            </a:rPr>
            <a:t>Greater than 19 CBOs = 20 Points</a:t>
          </a:r>
          <a:endParaRPr lang="en-US">
            <a:effectLst/>
          </a:endParaRPr>
        </a:p>
        <a:p>
          <a:r>
            <a:rPr lang="en-US" sz="1100">
              <a:solidFill>
                <a:schemeClr val="dk1"/>
              </a:solidFill>
              <a:effectLst/>
              <a:latin typeface="+mn-lt"/>
              <a:ea typeface="+mn-ea"/>
              <a:cs typeface="+mn-cs"/>
            </a:rPr>
            <a:t>Each CBO up to 19 = 1 Point each</a:t>
          </a:r>
          <a:endParaRPr lang="en-US">
            <a:effectLst/>
          </a:endParaRPr>
        </a:p>
        <a:p>
          <a:r>
            <a:rPr lang="en-US" sz="1100">
              <a:solidFill>
                <a:schemeClr val="dk1"/>
              </a:solidFill>
              <a:effectLst/>
              <a:latin typeface="+mn-lt"/>
              <a:ea typeface="+mn-ea"/>
              <a:cs typeface="+mn-cs"/>
            </a:rPr>
            <a:t>0 CBOs = 0 Points</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Number of these unique, contracted CBOs (up to 20) that receives a financial investment from the Respondent. </a:t>
          </a:r>
          <a:endParaRPr lang="en-US">
            <a:effectLst/>
          </a:endParaRPr>
        </a:p>
        <a:p>
          <a:r>
            <a:rPr lang="en-US" sz="1100">
              <a:solidFill>
                <a:schemeClr val="dk1"/>
              </a:solidFill>
              <a:effectLst/>
              <a:latin typeface="+mn-lt"/>
              <a:ea typeface="+mn-ea"/>
              <a:cs typeface="+mn-cs"/>
            </a:rPr>
            <a:t>Greater than 19 CBOs = 20 Points</a:t>
          </a:r>
          <a:endParaRPr lang="en-US">
            <a:effectLst/>
          </a:endParaRPr>
        </a:p>
        <a:p>
          <a:r>
            <a:rPr lang="en-US" sz="1100">
              <a:solidFill>
                <a:schemeClr val="dk1"/>
              </a:solidFill>
              <a:effectLst/>
              <a:latin typeface="+mn-lt"/>
              <a:ea typeface="+mn-ea"/>
              <a:cs typeface="+mn-cs"/>
            </a:rPr>
            <a:t>Each CBO up to 19 = 1 Point each</a:t>
          </a:r>
          <a:endParaRPr lang="en-US">
            <a:effectLst/>
          </a:endParaRPr>
        </a:p>
        <a:p>
          <a:r>
            <a:rPr lang="en-US" sz="1100">
              <a:solidFill>
                <a:schemeClr val="dk1"/>
              </a:solidFill>
              <a:effectLst/>
              <a:latin typeface="+mn-lt"/>
              <a:ea typeface="+mn-ea"/>
              <a:cs typeface="+mn-cs"/>
            </a:rPr>
            <a:t>0 CBOs = 0 Points</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Number of these unique, contracted CBOs (up to 20) that receives in-kind support from the Respondent. </a:t>
          </a:r>
          <a:endParaRPr lang="en-US">
            <a:effectLst/>
          </a:endParaRPr>
        </a:p>
        <a:p>
          <a:r>
            <a:rPr lang="en-US" sz="1100">
              <a:solidFill>
                <a:schemeClr val="dk1"/>
              </a:solidFill>
              <a:effectLst/>
              <a:latin typeface="+mn-lt"/>
              <a:ea typeface="+mn-ea"/>
              <a:cs typeface="+mn-cs"/>
            </a:rPr>
            <a:t>Greater than 19 CBOs = 20 Points</a:t>
          </a:r>
          <a:endParaRPr lang="en-US">
            <a:effectLst/>
          </a:endParaRPr>
        </a:p>
        <a:p>
          <a:r>
            <a:rPr lang="en-US" sz="1100">
              <a:solidFill>
                <a:schemeClr val="dk1"/>
              </a:solidFill>
              <a:effectLst/>
              <a:latin typeface="+mn-lt"/>
              <a:ea typeface="+mn-ea"/>
              <a:cs typeface="+mn-cs"/>
            </a:rPr>
            <a:t>Each CBO up to 19 = 1 Point each</a:t>
          </a:r>
          <a:endParaRPr lang="en-US">
            <a:effectLst/>
          </a:endParaRPr>
        </a:p>
        <a:p>
          <a:r>
            <a:rPr lang="en-US" sz="1100">
              <a:solidFill>
                <a:schemeClr val="dk1"/>
              </a:solidFill>
              <a:effectLst/>
              <a:latin typeface="+mn-lt"/>
              <a:ea typeface="+mn-ea"/>
              <a:cs typeface="+mn-cs"/>
            </a:rPr>
            <a:t>0 CBOs = 0 Points</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Number of these unique, contracted CBOs (up to 20) that has a representative who serves on a Respondent committee or advisory board. </a:t>
          </a:r>
          <a:endParaRPr lang="en-US">
            <a:effectLst/>
          </a:endParaRPr>
        </a:p>
        <a:p>
          <a:r>
            <a:rPr lang="en-US" sz="1100">
              <a:solidFill>
                <a:schemeClr val="dk1"/>
              </a:solidFill>
              <a:effectLst/>
              <a:latin typeface="+mn-lt"/>
              <a:ea typeface="+mn-ea"/>
              <a:cs typeface="+mn-cs"/>
            </a:rPr>
            <a:t>Greater than 19 CBOs = 20 Points</a:t>
          </a:r>
          <a:endParaRPr lang="en-US">
            <a:effectLst/>
          </a:endParaRPr>
        </a:p>
        <a:p>
          <a:r>
            <a:rPr lang="en-US" sz="1100">
              <a:solidFill>
                <a:schemeClr val="dk1"/>
              </a:solidFill>
              <a:effectLst/>
              <a:latin typeface="+mn-lt"/>
              <a:ea typeface="+mn-ea"/>
              <a:cs typeface="+mn-cs"/>
            </a:rPr>
            <a:t>Each CBO up to 19 = 1 Point each</a:t>
          </a:r>
          <a:endParaRPr lang="en-US">
            <a:effectLst/>
          </a:endParaRPr>
        </a:p>
        <a:p>
          <a:r>
            <a:rPr lang="en-US" sz="1100">
              <a:solidFill>
                <a:schemeClr val="dk1"/>
              </a:solidFill>
              <a:effectLst/>
              <a:latin typeface="+mn-lt"/>
              <a:ea typeface="+mn-ea"/>
              <a:cs typeface="+mn-cs"/>
            </a:rPr>
            <a:t>0 CBOs = 0 Points</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The total number of points is the sum of all individual points earned.</a:t>
          </a:r>
          <a:endParaRPr lang="en-US">
            <a:effectLst/>
          </a:endParaRPr>
        </a:p>
        <a:p>
          <a:r>
            <a:rPr lang="en-US" sz="1100" b="1">
              <a:solidFill>
                <a:schemeClr val="dk1"/>
              </a:solidFill>
              <a:effectLst/>
              <a:latin typeface="+mn-lt"/>
              <a:ea typeface="+mn-ea"/>
              <a:cs typeface="+mn-cs"/>
            </a:rPr>
            <a:t>The total earned points possible is 148.</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The maximum Final Score Possible is 300.</a:t>
          </a:r>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The Final Score is calculated by multiplying the percentage of total points earned out of total points possible by the maximum Final Score Possible.</a:t>
          </a:r>
          <a:endParaRPr lang="en-US" sz="1100">
            <a:solidFill>
              <a:schemeClr val="dk1"/>
            </a:solidFill>
            <a:effectLst/>
            <a:latin typeface="+mn-lt"/>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xdr:colOff>
      <xdr:row>0</xdr:row>
      <xdr:rowOff>0</xdr:rowOff>
    </xdr:from>
    <xdr:to>
      <xdr:col>2</xdr:col>
      <xdr:colOff>342900</xdr:colOff>
      <xdr:row>8</xdr:row>
      <xdr:rowOff>104775</xdr:rowOff>
    </xdr:to>
    <xdr:sp macro="[0]!Rectangle1_Click" textlink="">
      <xdr:nvSpPr>
        <xdr:cNvPr id="3" name="Rectangle 2">
          <a:extLst>
            <a:ext uri="{FF2B5EF4-FFF2-40B4-BE49-F238E27FC236}">
              <a16:creationId xmlns:a16="http://schemas.microsoft.com/office/drawing/2014/main" id="{00000000-0008-0000-1A00-000003000000}"/>
            </a:ext>
          </a:extLst>
        </xdr:cNvPr>
        <xdr:cNvSpPr/>
      </xdr:nvSpPr>
      <xdr:spPr>
        <a:xfrm>
          <a:off x="9525" y="0"/>
          <a:ext cx="6210300" cy="1828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838201</xdr:colOff>
      <xdr:row>9</xdr:row>
      <xdr:rowOff>19049</xdr:rowOff>
    </xdr:from>
    <xdr:to>
      <xdr:col>13</xdr:col>
      <xdr:colOff>695326</xdr:colOff>
      <xdr:row>161</xdr:row>
      <xdr:rowOff>19050</xdr:rowOff>
    </xdr:to>
    <xdr:sp macro="[0]!Rectangle1_Click" textlink="">
      <xdr:nvSpPr>
        <xdr:cNvPr id="4" name="Rectangle 3">
          <a:extLst>
            <a:ext uri="{FF2B5EF4-FFF2-40B4-BE49-F238E27FC236}">
              <a16:creationId xmlns:a16="http://schemas.microsoft.com/office/drawing/2014/main" id="{00000000-0008-0000-1A00-000004000000}"/>
            </a:ext>
          </a:extLst>
        </xdr:cNvPr>
        <xdr:cNvSpPr/>
      </xdr:nvSpPr>
      <xdr:spPr>
        <a:xfrm>
          <a:off x="28184476" y="2124074"/>
          <a:ext cx="704850" cy="294608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9525</xdr:colOff>
      <xdr:row>9</xdr:row>
      <xdr:rowOff>28575</xdr:rowOff>
    </xdr:from>
    <xdr:to>
      <xdr:col>15</xdr:col>
      <xdr:colOff>657225</xdr:colOff>
      <xdr:row>161</xdr:row>
      <xdr:rowOff>9525</xdr:rowOff>
    </xdr:to>
    <xdr:sp macro="[0]!Rectangle1_Click" textlink="">
      <xdr:nvSpPr>
        <xdr:cNvPr id="5" name="Rectangle 4">
          <a:extLst>
            <a:ext uri="{FF2B5EF4-FFF2-40B4-BE49-F238E27FC236}">
              <a16:creationId xmlns:a16="http://schemas.microsoft.com/office/drawing/2014/main" id="{00000000-0008-0000-1A00-000005000000}"/>
            </a:ext>
          </a:extLst>
        </xdr:cNvPr>
        <xdr:cNvSpPr/>
      </xdr:nvSpPr>
      <xdr:spPr>
        <a:xfrm>
          <a:off x="31242000" y="2133600"/>
          <a:ext cx="647700" cy="29441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19050</xdr:colOff>
      <xdr:row>163</xdr:row>
      <xdr:rowOff>152400</xdr:rowOff>
    </xdr:from>
    <xdr:to>
      <xdr:col>3</xdr:col>
      <xdr:colOff>38100</xdr:colOff>
      <xdr:row>182</xdr:row>
      <xdr:rowOff>28575</xdr:rowOff>
    </xdr:to>
    <xdr:sp macro="[0]!Rectangle1_Click" textlink="">
      <xdr:nvSpPr>
        <xdr:cNvPr id="6" name="Rectangle 5">
          <a:extLst>
            <a:ext uri="{FF2B5EF4-FFF2-40B4-BE49-F238E27FC236}">
              <a16:creationId xmlns:a16="http://schemas.microsoft.com/office/drawing/2014/main" id="{00000000-0008-0000-1A00-000006000000}"/>
            </a:ext>
          </a:extLst>
        </xdr:cNvPr>
        <xdr:cNvSpPr/>
      </xdr:nvSpPr>
      <xdr:spPr>
        <a:xfrm>
          <a:off x="19050" y="32175450"/>
          <a:ext cx="7439025" cy="6772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xdr:row>
      <xdr:rowOff>296334</xdr:rowOff>
    </xdr:from>
    <xdr:to>
      <xdr:col>190</xdr:col>
      <xdr:colOff>194733</xdr:colOff>
      <xdr:row>10</xdr:row>
      <xdr:rowOff>4233</xdr:rowOff>
    </xdr:to>
    <xdr:sp macro="[0]!Rectangle1_Click" textlink="">
      <xdr:nvSpPr>
        <xdr:cNvPr id="13" name="Rectangle 1">
          <a:extLst>
            <a:ext uri="{FF2B5EF4-FFF2-40B4-BE49-F238E27FC236}">
              <a16:creationId xmlns:a16="http://schemas.microsoft.com/office/drawing/2014/main" id="{00000000-0008-0000-1A00-00000D000000}"/>
            </a:ext>
          </a:extLst>
        </xdr:cNvPr>
        <xdr:cNvSpPr/>
      </xdr:nvSpPr>
      <xdr:spPr>
        <a:xfrm>
          <a:off x="0" y="2021417"/>
          <a:ext cx="36781316" cy="6815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35718</xdr:colOff>
      <xdr:row>3</xdr:row>
      <xdr:rowOff>178594</xdr:rowOff>
    </xdr:from>
    <xdr:to>
      <xdr:col>198</xdr:col>
      <xdr:colOff>190500</xdr:colOff>
      <xdr:row>163</xdr:row>
      <xdr:rowOff>0</xdr:rowOff>
    </xdr:to>
    <xdr:sp macro="[0]!Rectangle1_Click" textlink="">
      <xdr:nvSpPr>
        <xdr:cNvPr id="2" name="Rectangle 1">
          <a:extLst>
            <a:ext uri="{FF2B5EF4-FFF2-40B4-BE49-F238E27FC236}">
              <a16:creationId xmlns:a16="http://schemas.microsoft.com/office/drawing/2014/main" id="{00000000-0008-0000-1A00-000002000000}"/>
            </a:ext>
          </a:extLst>
        </xdr:cNvPr>
        <xdr:cNvSpPr/>
      </xdr:nvSpPr>
      <xdr:spPr>
        <a:xfrm>
          <a:off x="36016406" y="940594"/>
          <a:ext cx="115847813" cy="59209781"/>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4</xdr:row>
      <xdr:rowOff>190499</xdr:rowOff>
    </xdr:from>
    <xdr:to>
      <xdr:col>7</xdr:col>
      <xdr:colOff>1571625</xdr:colOff>
      <xdr:row>30</xdr:row>
      <xdr:rowOff>38100</xdr:rowOff>
    </xdr:to>
    <xdr:sp macro="" textlink="">
      <xdr:nvSpPr>
        <xdr:cNvPr id="11" name="TextBox 1">
          <a:extLst>
            <a:ext uri="{FF2B5EF4-FFF2-40B4-BE49-F238E27FC236}">
              <a16:creationId xmlns:a16="http://schemas.microsoft.com/office/drawing/2014/main" id="{00000000-0008-0000-1B00-00000B000000}"/>
            </a:ext>
          </a:extLst>
        </xdr:cNvPr>
        <xdr:cNvSpPr txBox="1"/>
      </xdr:nvSpPr>
      <xdr:spPr>
        <a:xfrm>
          <a:off x="0" y="1162049"/>
          <a:ext cx="5838825" cy="4800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Scoring will be designated based upon the following criteria:</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Expanded Benefits Proposed to Offer</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Housing assistance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Yes = 5  Points total for one or more complete entry rows (columns B through H)</a:t>
          </a:r>
        </a:p>
        <a:p>
          <a:r>
            <a:rPr lang="en-US" sz="1100">
              <a:solidFill>
                <a:schemeClr val="dk1"/>
              </a:solidFill>
              <a:effectLst/>
              <a:latin typeface="+mn-lt"/>
              <a:ea typeface="+mn-ea"/>
              <a:cs typeface="+mn-cs"/>
            </a:rPr>
            <a:t>No = 0 Points for no complete entry row (columns B through H) </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Food assistance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Yes = 5  Points total for one or more complete entry rows (columns B through H)</a:t>
          </a:r>
          <a:endParaRPr lang="en-US">
            <a:effectLst/>
          </a:endParaRPr>
        </a:p>
        <a:p>
          <a:r>
            <a:rPr lang="en-US" sz="1100">
              <a:solidFill>
                <a:schemeClr val="dk1"/>
              </a:solidFill>
              <a:effectLst/>
              <a:latin typeface="+mn-lt"/>
              <a:ea typeface="+mn-ea"/>
              <a:cs typeface="+mn-cs"/>
            </a:rPr>
            <a:t>No = 0 Points for no complete entry row (columns B through H) </a:t>
          </a:r>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Non-medical transportation</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Yes = 5  Points total for one or more complete entry rows (columns B through H)</a:t>
          </a:r>
          <a:endParaRPr lang="en-US">
            <a:effectLst/>
          </a:endParaRPr>
        </a:p>
        <a:p>
          <a:r>
            <a:rPr lang="en-US" sz="1100">
              <a:solidFill>
                <a:schemeClr val="dk1"/>
              </a:solidFill>
              <a:effectLst/>
              <a:latin typeface="+mn-lt"/>
              <a:ea typeface="+mn-ea"/>
              <a:cs typeface="+mn-cs"/>
            </a:rPr>
            <a:t>No = 0 Points for no complete entry row (columns B through H) </a:t>
          </a:r>
          <a:endParaRPr lang="en-US">
            <a:effectLst/>
          </a:endParaRP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Tutoring, vocational training, and job readiness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Yes = 5  Points total for one or more complete entry rows (columns B through H)</a:t>
          </a:r>
          <a:endParaRPr lang="en-US">
            <a:effectLst/>
          </a:endParaRPr>
        </a:p>
        <a:p>
          <a:r>
            <a:rPr lang="en-US" sz="1100">
              <a:solidFill>
                <a:schemeClr val="dk1"/>
              </a:solidFill>
              <a:effectLst/>
              <a:latin typeface="+mn-lt"/>
              <a:ea typeface="+mn-ea"/>
              <a:cs typeface="+mn-cs"/>
            </a:rPr>
            <a:t>No = 0 Points for no complete entry row (columns B through H) </a:t>
          </a:r>
          <a:endParaRPr lang="en-US">
            <a:effectLst/>
          </a:endParaRP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The total number of points is the sum of all individual points earned.</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 total earned points possible is 20.</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 maximum Final Score Possible is 300.</a:t>
          </a:r>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The Final Score is calculated by multiplying the percentage of total points earned out of total points possible by the maximum Final Score Possible.</a:t>
          </a:r>
          <a:endParaRPr lang="en-US" sz="1100">
            <a:solidFill>
              <a:schemeClr val="dk1"/>
            </a:solidFill>
            <a:effectLst/>
            <a:latin typeface="+mn-lt"/>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81643</xdr:colOff>
      <xdr:row>4</xdr:row>
      <xdr:rowOff>19050</xdr:rowOff>
    </xdr:from>
    <xdr:to>
      <xdr:col>8</xdr:col>
      <xdr:colOff>751115</xdr:colOff>
      <xdr:row>38</xdr:row>
      <xdr:rowOff>142875</xdr:rowOff>
    </xdr:to>
    <xdr:sp macro="" textlink="">
      <xdr:nvSpPr>
        <xdr:cNvPr id="2" name="TextBox 2">
          <a:extLst>
            <a:ext uri="{FF2B5EF4-FFF2-40B4-BE49-F238E27FC236}">
              <a16:creationId xmlns:a16="http://schemas.microsoft.com/office/drawing/2014/main" id="{00000000-0008-0000-1D00-000002000000}"/>
            </a:ext>
          </a:extLst>
        </xdr:cNvPr>
        <xdr:cNvSpPr txBox="1"/>
      </xdr:nvSpPr>
      <xdr:spPr>
        <a:xfrm>
          <a:off x="81643" y="885825"/>
          <a:ext cx="5927272" cy="6600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Scoring will be designated based upon the following criteria for each entry: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Line of business: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Medicaid = 1 Point</a:t>
          </a:r>
        </a:p>
        <a:p>
          <a:r>
            <a:rPr lang="en-US" sz="1100">
              <a:solidFill>
                <a:schemeClr val="dk1"/>
              </a:solidFill>
              <a:effectLst/>
              <a:latin typeface="+mn-lt"/>
              <a:ea typeface="+mn-ea"/>
              <a:cs typeface="+mn-cs"/>
            </a:rPr>
            <a:t>CHIP = 0.9 Points</a:t>
          </a:r>
        </a:p>
        <a:p>
          <a:r>
            <a:rPr lang="en-US" sz="1100">
              <a:solidFill>
                <a:schemeClr val="dk1"/>
              </a:solidFill>
              <a:effectLst/>
              <a:latin typeface="+mn-lt"/>
              <a:ea typeface="+mn-ea"/>
              <a:cs typeface="+mn-cs"/>
            </a:rPr>
            <a:t>Medicare = 0.8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Length of Contract:</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Less than 1 year = 0 Points</a:t>
          </a:r>
        </a:p>
        <a:p>
          <a:r>
            <a:rPr lang="en-US" sz="1100">
              <a:solidFill>
                <a:schemeClr val="dk1"/>
              </a:solidFill>
              <a:effectLst/>
              <a:latin typeface="+mn-lt"/>
              <a:ea typeface="+mn-ea"/>
              <a:cs typeface="+mn-cs"/>
            </a:rPr>
            <a:t>1 year to less than 3 years = 0.5 Points</a:t>
          </a:r>
        </a:p>
        <a:p>
          <a:r>
            <a:rPr lang="en-US" sz="1100">
              <a:solidFill>
                <a:schemeClr val="dk1"/>
              </a:solidFill>
              <a:effectLst/>
              <a:latin typeface="+mn-lt"/>
              <a:ea typeface="+mn-ea"/>
              <a:cs typeface="+mn-cs"/>
            </a:rPr>
            <a:t>3 years to 5 years = 0.75 Points</a:t>
          </a:r>
        </a:p>
        <a:p>
          <a:r>
            <a:rPr lang="en-US" sz="1100">
              <a:solidFill>
                <a:schemeClr val="dk1"/>
              </a:solidFill>
              <a:effectLst/>
              <a:latin typeface="+mn-lt"/>
              <a:ea typeface="+mn-ea"/>
              <a:cs typeface="+mn-cs"/>
            </a:rPr>
            <a:t>Greater than 5 years = 1 Point</a:t>
          </a:r>
        </a:p>
        <a:p>
          <a:r>
            <a:rPr lang="en-US" sz="1100">
              <a:solidFill>
                <a:schemeClr val="dk1"/>
              </a:solidFill>
              <a:effectLst/>
              <a:latin typeface="+mn-lt"/>
              <a:ea typeface="+mn-ea"/>
              <a:cs typeface="+mn-cs"/>
            </a:rPr>
            <a:t>**Future contract years will not be counted</a:t>
          </a:r>
          <a:r>
            <a:rPr lang="en-US" sz="1100" baseline="0">
              <a:solidFill>
                <a:schemeClr val="dk1"/>
              </a:solidFill>
              <a:effectLst/>
              <a:latin typeface="+mn-lt"/>
              <a:ea typeface="+mn-ea"/>
              <a:cs typeface="+mn-cs"/>
            </a:rPr>
            <a:t> toward the length of the contract.</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State 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Statewide = 1 Point</a:t>
          </a:r>
        </a:p>
        <a:p>
          <a:r>
            <a:rPr lang="en-US" sz="1100">
              <a:solidFill>
                <a:schemeClr val="dk1"/>
              </a:solidFill>
              <a:effectLst/>
              <a:latin typeface="+mn-lt"/>
              <a:ea typeface="+mn-ea"/>
              <a:cs typeface="+mn-cs"/>
            </a:rPr>
            <a:t>Not Statewide = 0.8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HCBS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Yes = 1 Point</a:t>
          </a:r>
        </a:p>
        <a:p>
          <a:r>
            <a:rPr lang="en-US" sz="1100">
              <a:solidFill>
                <a:schemeClr val="dk1"/>
              </a:solidFill>
              <a:effectLst/>
              <a:latin typeface="+mn-lt"/>
              <a:ea typeface="+mn-ea"/>
              <a:cs typeface="+mn-cs"/>
            </a:rPr>
            <a:t>No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Total Unduplicated Population Under Contract</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Greater than or equal to 500,000 enrollees = 1 Point</a:t>
          </a:r>
        </a:p>
        <a:p>
          <a:r>
            <a:rPr lang="en-US" sz="1100">
              <a:solidFill>
                <a:schemeClr val="dk1"/>
              </a:solidFill>
              <a:effectLst/>
              <a:latin typeface="+mn-lt"/>
              <a:ea typeface="+mn-ea"/>
              <a:cs typeface="+mn-cs"/>
            </a:rPr>
            <a:t>250,000 to 499,999 enrollees = 0.5 Points</a:t>
          </a:r>
        </a:p>
        <a:p>
          <a:r>
            <a:rPr lang="en-US" sz="1100">
              <a:solidFill>
                <a:schemeClr val="dk1"/>
              </a:solidFill>
              <a:effectLst/>
              <a:latin typeface="+mn-lt"/>
              <a:ea typeface="+mn-ea"/>
              <a:cs typeface="+mn-cs"/>
            </a:rPr>
            <a:t>Less than 250,000 enrollees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Total Contract amount is for information only and is unscored.</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 total number of points is the sum of all individual points earned divided by 20.</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 total earned points possible is 5.</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 maximum Final Score Possible is 350.</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 Final Score is calculated by multiplying the percentage of total points earned out of total points possible by the maximum Final Score Possible.</a:t>
          </a:r>
        </a:p>
        <a:p>
          <a:endParaRPr lang="en-US" sz="1100" b="1">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xdr:colOff>
      <xdr:row>4</xdr:row>
      <xdr:rowOff>9525</xdr:rowOff>
    </xdr:from>
    <xdr:to>
      <xdr:col>8</xdr:col>
      <xdr:colOff>533400</xdr:colOff>
      <xdr:row>29</xdr:row>
      <xdr:rowOff>142875</xdr:rowOff>
    </xdr:to>
    <xdr:sp macro="" textlink="">
      <xdr:nvSpPr>
        <xdr:cNvPr id="2" name="TextBox 1">
          <a:extLst>
            <a:ext uri="{FF2B5EF4-FFF2-40B4-BE49-F238E27FC236}">
              <a16:creationId xmlns:a16="http://schemas.microsoft.com/office/drawing/2014/main" id="{00000000-0008-0000-1F00-000002000000}"/>
            </a:ext>
          </a:extLst>
        </xdr:cNvPr>
        <xdr:cNvSpPr txBox="1"/>
      </xdr:nvSpPr>
      <xdr:spPr>
        <a:xfrm>
          <a:off x="57150" y="876300"/>
          <a:ext cx="5734050" cy="4895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Scoring will be designated based upon the following criteria:</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Liquidated Damages - % Total Revenue Imposed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0-0.099% = 5 Points</a:t>
          </a:r>
        </a:p>
        <a:p>
          <a:r>
            <a:rPr lang="en-US" sz="1100">
              <a:solidFill>
                <a:schemeClr val="dk1"/>
              </a:solidFill>
              <a:effectLst/>
              <a:latin typeface="+mn-lt"/>
              <a:ea typeface="+mn-ea"/>
              <a:cs typeface="+mn-cs"/>
            </a:rPr>
            <a:t>0.1-0.199% = 3 Points</a:t>
          </a:r>
        </a:p>
        <a:p>
          <a:r>
            <a:rPr lang="en-US" sz="1100">
              <a:solidFill>
                <a:schemeClr val="dk1"/>
              </a:solidFill>
              <a:effectLst/>
              <a:latin typeface="+mn-lt"/>
              <a:ea typeface="+mn-ea"/>
              <a:cs typeface="+mn-cs"/>
            </a:rPr>
            <a:t>0.2% or greater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Number of Sanctions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0 = 20 Points</a:t>
          </a:r>
        </a:p>
        <a:p>
          <a:r>
            <a:rPr lang="en-US" sz="1100">
              <a:solidFill>
                <a:schemeClr val="dk1"/>
              </a:solidFill>
              <a:effectLst/>
              <a:latin typeface="+mn-lt"/>
              <a:ea typeface="+mn-ea"/>
              <a:cs typeface="+mn-cs"/>
            </a:rPr>
            <a:t>1+ = 0 Points </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Number of CAPS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0 = 8 Points</a:t>
          </a:r>
        </a:p>
        <a:p>
          <a:r>
            <a:rPr lang="en-US" sz="1100">
              <a:solidFill>
                <a:schemeClr val="dk1"/>
              </a:solidFill>
              <a:effectLst/>
              <a:latin typeface="+mn-lt"/>
              <a:ea typeface="+mn-ea"/>
              <a:cs typeface="+mn-cs"/>
            </a:rPr>
            <a:t>1+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Number of Terminations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0 = 50 Points</a:t>
          </a:r>
        </a:p>
        <a:p>
          <a:r>
            <a:rPr lang="en-US" sz="1100">
              <a:solidFill>
                <a:schemeClr val="dk1"/>
              </a:solidFill>
              <a:effectLst/>
              <a:latin typeface="+mn-lt"/>
              <a:ea typeface="+mn-ea"/>
              <a:cs typeface="+mn-cs"/>
            </a:rPr>
            <a:t>1+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The total number of points is the sum of all individual points earned for all three contracts.</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 total earned points possible is 347.</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 maximum Final Score Possible is 250.</a:t>
          </a:r>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The Final Score is calculated by multiplying the percentage of total points earned out of total points possible by the maximum Final Score Possible.</a:t>
          </a:r>
          <a:endParaRPr lang="en-US" sz="1100">
            <a:solidFill>
              <a:schemeClr val="dk1"/>
            </a:solidFill>
            <a:effectLst/>
            <a:latin typeface="+mn-lt"/>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85725</xdr:colOff>
      <xdr:row>4</xdr:row>
      <xdr:rowOff>19051</xdr:rowOff>
    </xdr:from>
    <xdr:to>
      <xdr:col>8</xdr:col>
      <xdr:colOff>523875</xdr:colOff>
      <xdr:row>39</xdr:row>
      <xdr:rowOff>1</xdr:rowOff>
    </xdr:to>
    <xdr:sp macro="" textlink="">
      <xdr:nvSpPr>
        <xdr:cNvPr id="2" name="TextBox 1">
          <a:extLst>
            <a:ext uri="{FF2B5EF4-FFF2-40B4-BE49-F238E27FC236}">
              <a16:creationId xmlns:a16="http://schemas.microsoft.com/office/drawing/2014/main" id="{00000000-0008-0000-2200-000002000000}"/>
            </a:ext>
          </a:extLst>
        </xdr:cNvPr>
        <xdr:cNvSpPr txBox="1"/>
      </xdr:nvSpPr>
      <xdr:spPr>
        <a:xfrm>
          <a:off x="85725" y="885826"/>
          <a:ext cx="5314950" cy="6648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Scoring will be designated based upon the following criteria:</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Presence in Florida</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Corporate Headquarters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Yes = 10 Points; No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Claims Processing</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Yes = 15 Points; No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Member Services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Yes = 15 Points; No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Provider Services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Yes = 15 Points; No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Utilization Management</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Yes = 5 Points; No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Prior Authorization</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Yes = 5 Points; No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Case Management</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Yes = 15 Points; No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Disease Management</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Yes = 5 Points; No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Quality</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Yes = 15 Points; No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The total number of points is the sum of all individual points earned.</a:t>
          </a:r>
          <a:endParaRPr lang="en-US">
            <a:effectLst/>
          </a:endParaRPr>
        </a:p>
        <a:p>
          <a:r>
            <a:rPr lang="en-US" sz="1100" b="1">
              <a:solidFill>
                <a:schemeClr val="dk1"/>
              </a:solidFill>
              <a:effectLst/>
              <a:latin typeface="+mn-lt"/>
              <a:ea typeface="+mn-ea"/>
              <a:cs typeface="+mn-cs"/>
            </a:rPr>
            <a:t>The total earned points possible is 100.</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 maximum Final Score Possible is 100.</a:t>
          </a:r>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The Final Score is calculated by multiplying the percentage of total points earned out of total points possible by the maximum Final Score Possible.</a:t>
          </a:r>
          <a:endParaRPr lang="en-US" sz="1100">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76200</xdr:colOff>
      <xdr:row>4</xdr:row>
      <xdr:rowOff>0</xdr:rowOff>
    </xdr:from>
    <xdr:to>
      <xdr:col>8</xdr:col>
      <xdr:colOff>542925</xdr:colOff>
      <xdr:row>24</xdr:row>
      <xdr:rowOff>9525</xdr:rowOff>
    </xdr:to>
    <xdr:sp macro="" textlink="">
      <xdr:nvSpPr>
        <xdr:cNvPr id="2" name="TextBox 1">
          <a:extLst>
            <a:ext uri="{FF2B5EF4-FFF2-40B4-BE49-F238E27FC236}">
              <a16:creationId xmlns:a16="http://schemas.microsoft.com/office/drawing/2014/main" id="{00000000-0008-0000-2400-000002000000}"/>
            </a:ext>
          </a:extLst>
        </xdr:cNvPr>
        <xdr:cNvSpPr txBox="1"/>
      </xdr:nvSpPr>
      <xdr:spPr>
        <a:xfrm>
          <a:off x="76200" y="962025"/>
          <a:ext cx="5553075" cy="3848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Scoring will be designated based upon the following criteria for each entry:</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Health Plan Accreditation</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Full Managed Care Plan accreditation = 5 Points</a:t>
          </a:r>
        </a:p>
        <a:p>
          <a:r>
            <a:rPr lang="en-US" sz="1100">
              <a:solidFill>
                <a:schemeClr val="dk1"/>
              </a:solidFill>
              <a:effectLst/>
              <a:latin typeface="+mn-lt"/>
              <a:ea typeface="+mn-ea"/>
              <a:cs typeface="+mn-cs"/>
            </a:rPr>
            <a:t>Partial/conditional Managed Care Plan accreditation = 3 Points</a:t>
          </a:r>
        </a:p>
        <a:p>
          <a:r>
            <a:rPr lang="en-US" sz="1100">
              <a:solidFill>
                <a:schemeClr val="dk1"/>
              </a:solidFill>
              <a:effectLst/>
              <a:latin typeface="+mn-lt"/>
              <a:ea typeface="+mn-ea"/>
              <a:cs typeface="+mn-cs"/>
            </a:rPr>
            <a:t>Managed Care Plan accreditation denied or no accreditation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Additive Accreditations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NCQA Electronic Clinical Quality Measures (eCQM) Certification = 1 Point </a:t>
          </a:r>
        </a:p>
        <a:p>
          <a:r>
            <a:rPr lang="en-US" sz="1100">
              <a:solidFill>
                <a:schemeClr val="dk1"/>
              </a:solidFill>
              <a:effectLst/>
              <a:latin typeface="+mn-lt"/>
              <a:ea typeface="+mn-ea"/>
              <a:cs typeface="+mn-cs"/>
            </a:rPr>
            <a:t>NCQA Long-Term Supports and Services Distinction = 1 Point</a:t>
          </a:r>
        </a:p>
        <a:p>
          <a:r>
            <a:rPr lang="en-US" sz="1100">
              <a:solidFill>
                <a:schemeClr val="dk1"/>
              </a:solidFill>
              <a:effectLst/>
              <a:latin typeface="+mn-lt"/>
              <a:ea typeface="+mn-ea"/>
              <a:cs typeface="+mn-cs"/>
            </a:rPr>
            <a:t>NCQA Population Health Program Accreditation = 1 Point</a:t>
          </a:r>
        </a:p>
        <a:p>
          <a:r>
            <a:rPr lang="en-US" sz="1100">
              <a:solidFill>
                <a:schemeClr val="dk1"/>
              </a:solidFill>
              <a:effectLst/>
              <a:latin typeface="+mn-lt"/>
              <a:ea typeface="+mn-ea"/>
              <a:cs typeface="+mn-cs"/>
            </a:rPr>
            <a:t>URAC Integrated Behavioral Health Designation = 1 Point</a:t>
          </a:r>
        </a:p>
        <a:p>
          <a:r>
            <a:rPr lang="en-US" sz="1100">
              <a:solidFill>
                <a:schemeClr val="dk1"/>
              </a:solidFill>
              <a:effectLst/>
              <a:latin typeface="+mn-lt"/>
              <a:ea typeface="+mn-ea"/>
              <a:cs typeface="+mn-cs"/>
            </a:rPr>
            <a:t>URAC Medicaid with Long-Term Services and Supports = 1 Point</a:t>
          </a:r>
        </a:p>
        <a:p>
          <a:r>
            <a:rPr lang="en-US" sz="1100">
              <a:solidFill>
                <a:schemeClr val="dk1"/>
              </a:solidFill>
              <a:effectLst/>
              <a:latin typeface="+mn-lt"/>
              <a:ea typeface="+mn-ea"/>
              <a:cs typeface="+mn-cs"/>
            </a:rPr>
            <a:t>URAC Opioid Stewardship Designation = 1 Point </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 total number of points is the sum of all individual points earned.</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 total earned points possible is 11.</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 maximum Final Score Possible is 100.</a:t>
          </a:r>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The Final Score is calculated by multiplying the percentage of total points earned out of total points possible by the maximum Final Score Possible.</a:t>
          </a:r>
          <a:endParaRPr lang="en-US" sz="110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83005</xdr:colOff>
      <xdr:row>3</xdr:row>
      <xdr:rowOff>183694</xdr:rowOff>
    </xdr:from>
    <xdr:to>
      <xdr:col>8</xdr:col>
      <xdr:colOff>523875</xdr:colOff>
      <xdr:row>39</xdr:row>
      <xdr:rowOff>142875</xdr:rowOff>
    </xdr:to>
    <xdr:sp macro="" textlink="">
      <xdr:nvSpPr>
        <xdr:cNvPr id="17" name="TextBox 1">
          <a:extLst>
            <a:ext uri="{FF2B5EF4-FFF2-40B4-BE49-F238E27FC236}">
              <a16:creationId xmlns:a16="http://schemas.microsoft.com/office/drawing/2014/main" id="{00000000-0008-0000-2600-000011000000}"/>
            </a:ext>
          </a:extLst>
        </xdr:cNvPr>
        <xdr:cNvSpPr txBox="1"/>
      </xdr:nvSpPr>
      <xdr:spPr>
        <a:xfrm>
          <a:off x="83005" y="926644"/>
          <a:ext cx="5317670" cy="68171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Scoring will be designated based upon the following criteria: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Grievances Not Resolved within 90 days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0-5.99% = 3 Points</a:t>
          </a:r>
        </a:p>
        <a:p>
          <a:r>
            <a:rPr lang="en-US" sz="1100">
              <a:solidFill>
                <a:schemeClr val="dk1"/>
              </a:solidFill>
              <a:effectLst/>
              <a:latin typeface="+mn-lt"/>
              <a:ea typeface="+mn-ea"/>
              <a:cs typeface="+mn-cs"/>
            </a:rPr>
            <a:t>6-10.99% = 2 Points</a:t>
          </a:r>
        </a:p>
        <a:p>
          <a:r>
            <a:rPr lang="en-US" sz="1100">
              <a:solidFill>
                <a:schemeClr val="dk1"/>
              </a:solidFill>
              <a:effectLst/>
              <a:latin typeface="+mn-lt"/>
              <a:ea typeface="+mn-ea"/>
              <a:cs typeface="+mn-cs"/>
            </a:rPr>
            <a:t>11-25.99% = 1 Points</a:t>
          </a:r>
        </a:p>
        <a:p>
          <a:r>
            <a:rPr lang="en-US" sz="1100">
              <a:solidFill>
                <a:schemeClr val="dk1"/>
              </a:solidFill>
              <a:effectLst/>
              <a:latin typeface="+mn-lt"/>
              <a:ea typeface="+mn-ea"/>
              <a:cs typeface="+mn-cs"/>
            </a:rPr>
            <a:t>26% or higher = 0 Points</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Grievances Per Total Population</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0-5.99% = 3 Points</a:t>
          </a:r>
        </a:p>
        <a:p>
          <a:r>
            <a:rPr lang="en-US" sz="1100">
              <a:solidFill>
                <a:schemeClr val="dk1"/>
              </a:solidFill>
              <a:effectLst/>
              <a:latin typeface="+mn-lt"/>
              <a:ea typeface="+mn-ea"/>
              <a:cs typeface="+mn-cs"/>
            </a:rPr>
            <a:t>6-10.99% = 2 Points</a:t>
          </a:r>
        </a:p>
        <a:p>
          <a:r>
            <a:rPr lang="en-US" sz="1100">
              <a:solidFill>
                <a:schemeClr val="dk1"/>
              </a:solidFill>
              <a:effectLst/>
              <a:latin typeface="+mn-lt"/>
              <a:ea typeface="+mn-ea"/>
              <a:cs typeface="+mn-cs"/>
            </a:rPr>
            <a:t>11-25.99% = 1 Points</a:t>
          </a:r>
        </a:p>
        <a:p>
          <a:r>
            <a:rPr lang="en-US" sz="1100">
              <a:solidFill>
                <a:schemeClr val="dk1"/>
              </a:solidFill>
              <a:effectLst/>
              <a:latin typeface="+mn-lt"/>
              <a:ea typeface="+mn-ea"/>
              <a:cs typeface="+mn-cs"/>
            </a:rPr>
            <a:t>26% or higher = 0 Points</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Appeals Not Resolved Within 30 days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0-5.99% = 3 Points</a:t>
          </a:r>
        </a:p>
        <a:p>
          <a:r>
            <a:rPr lang="en-US" sz="1100">
              <a:solidFill>
                <a:schemeClr val="dk1"/>
              </a:solidFill>
              <a:effectLst/>
              <a:latin typeface="+mn-lt"/>
              <a:ea typeface="+mn-ea"/>
              <a:cs typeface="+mn-cs"/>
            </a:rPr>
            <a:t>6-10.99% = 2 Points</a:t>
          </a:r>
        </a:p>
        <a:p>
          <a:r>
            <a:rPr lang="en-US" sz="1100">
              <a:solidFill>
                <a:schemeClr val="dk1"/>
              </a:solidFill>
              <a:effectLst/>
              <a:latin typeface="+mn-lt"/>
              <a:ea typeface="+mn-ea"/>
              <a:cs typeface="+mn-cs"/>
            </a:rPr>
            <a:t>11-25.99% = 1 Points</a:t>
          </a:r>
        </a:p>
        <a:p>
          <a:r>
            <a:rPr lang="en-US" sz="1100">
              <a:solidFill>
                <a:schemeClr val="dk1"/>
              </a:solidFill>
              <a:effectLst/>
              <a:latin typeface="+mn-lt"/>
              <a:ea typeface="+mn-ea"/>
              <a:cs typeface="+mn-cs"/>
            </a:rPr>
            <a:t>26% or higher = 0 Points</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Appeals Per Total Population</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0-5.99% = 3 Points</a:t>
          </a:r>
        </a:p>
        <a:p>
          <a:r>
            <a:rPr lang="en-US" sz="1100">
              <a:solidFill>
                <a:schemeClr val="dk1"/>
              </a:solidFill>
              <a:effectLst/>
              <a:latin typeface="+mn-lt"/>
              <a:ea typeface="+mn-ea"/>
              <a:cs typeface="+mn-cs"/>
            </a:rPr>
            <a:t>6-10.99% = 2 Points</a:t>
          </a:r>
        </a:p>
        <a:p>
          <a:r>
            <a:rPr lang="en-US" sz="1100">
              <a:solidFill>
                <a:schemeClr val="dk1"/>
              </a:solidFill>
              <a:effectLst/>
              <a:latin typeface="+mn-lt"/>
              <a:ea typeface="+mn-ea"/>
              <a:cs typeface="+mn-cs"/>
            </a:rPr>
            <a:t>11-25.99% = 1 Points</a:t>
          </a:r>
        </a:p>
        <a:p>
          <a:r>
            <a:rPr lang="en-US" sz="1100">
              <a:solidFill>
                <a:schemeClr val="dk1"/>
              </a:solidFill>
              <a:effectLst/>
              <a:latin typeface="+mn-lt"/>
              <a:ea typeface="+mn-ea"/>
              <a:cs typeface="+mn-cs"/>
            </a:rPr>
            <a:t>26% or higher = 0 Points</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Medicaid Fair Hearings Overturned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0-5.99% = 3 Points</a:t>
          </a:r>
        </a:p>
        <a:p>
          <a:r>
            <a:rPr lang="en-US" sz="1100">
              <a:solidFill>
                <a:schemeClr val="dk1"/>
              </a:solidFill>
              <a:effectLst/>
              <a:latin typeface="+mn-lt"/>
              <a:ea typeface="+mn-ea"/>
              <a:cs typeface="+mn-cs"/>
            </a:rPr>
            <a:t>6-10.99% = 2 Points</a:t>
          </a:r>
        </a:p>
        <a:p>
          <a:r>
            <a:rPr lang="en-US" sz="1100">
              <a:solidFill>
                <a:schemeClr val="dk1"/>
              </a:solidFill>
              <a:effectLst/>
              <a:latin typeface="+mn-lt"/>
              <a:ea typeface="+mn-ea"/>
              <a:cs typeface="+mn-cs"/>
            </a:rPr>
            <a:t>11-25.99% = 1 Points</a:t>
          </a:r>
        </a:p>
        <a:p>
          <a:r>
            <a:rPr lang="en-US" sz="1100">
              <a:solidFill>
                <a:schemeClr val="dk1"/>
              </a:solidFill>
              <a:effectLst/>
              <a:latin typeface="+mn-lt"/>
              <a:ea typeface="+mn-ea"/>
              <a:cs typeface="+mn-cs"/>
            </a:rPr>
            <a:t>26% or higher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The total number of points is the sum of all individual points earned.</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 total earned points possible is 15.</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 maximum Final Score Possible is 200.</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 Final Score is calculated by multiplying the percentage of total points earned out of total points possible by the maximum Final Score Possible.</a:t>
          </a:r>
          <a:endParaRPr lang="en-US" sz="1100">
            <a:solidFill>
              <a:schemeClr val="dk1"/>
            </a:solidFill>
            <a:effectLst/>
            <a:latin typeface="+mn-lt"/>
            <a:ea typeface="+mn-ea"/>
            <a:cs typeface="+mn-cs"/>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47625</xdr:colOff>
      <xdr:row>5</xdr:row>
      <xdr:rowOff>1</xdr:rowOff>
    </xdr:from>
    <xdr:to>
      <xdr:col>8</xdr:col>
      <xdr:colOff>533400</xdr:colOff>
      <xdr:row>44</xdr:row>
      <xdr:rowOff>114300</xdr:rowOff>
    </xdr:to>
    <xdr:sp macro="" textlink="">
      <xdr:nvSpPr>
        <xdr:cNvPr id="7" name="TextBox 1">
          <a:extLst>
            <a:ext uri="{FF2B5EF4-FFF2-40B4-BE49-F238E27FC236}">
              <a16:creationId xmlns:a16="http://schemas.microsoft.com/office/drawing/2014/main" id="{00000000-0008-0000-2800-000007000000}"/>
            </a:ext>
          </a:extLst>
        </xdr:cNvPr>
        <xdr:cNvSpPr txBox="1"/>
      </xdr:nvSpPr>
      <xdr:spPr>
        <a:xfrm>
          <a:off x="47625" y="1295401"/>
          <a:ext cx="5362575" cy="754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Scoring will be designated based upon the following criteria for each entry:</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Timeliness of Electronically Submitted Claims:</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Paid/Denied within 7 days: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90-100% = 50 Points  </a:t>
          </a:r>
        </a:p>
        <a:p>
          <a:r>
            <a:rPr lang="en-US" sz="1100">
              <a:solidFill>
                <a:schemeClr val="dk1"/>
              </a:solidFill>
              <a:effectLst/>
              <a:latin typeface="+mn-lt"/>
              <a:ea typeface="+mn-ea"/>
              <a:cs typeface="+mn-cs"/>
            </a:rPr>
            <a:t>80-89.99% = 25 Points</a:t>
          </a:r>
        </a:p>
        <a:p>
          <a:r>
            <a:rPr lang="en-US" sz="1100">
              <a:solidFill>
                <a:schemeClr val="dk1"/>
              </a:solidFill>
              <a:effectLst/>
              <a:latin typeface="+mn-lt"/>
              <a:ea typeface="+mn-ea"/>
              <a:cs typeface="+mn-cs"/>
            </a:rPr>
            <a:t>79.99% and below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 Paid/Denied within 10 calendar days for Nursing Facility</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95-100% = 25 Points</a:t>
          </a:r>
        </a:p>
        <a:p>
          <a:r>
            <a:rPr lang="en-US" sz="1100">
              <a:solidFill>
                <a:schemeClr val="dk1"/>
              </a:solidFill>
              <a:effectLst/>
              <a:latin typeface="+mn-lt"/>
              <a:ea typeface="+mn-ea"/>
              <a:cs typeface="+mn-cs"/>
            </a:rPr>
            <a:t>94.99% and below = 0 Points</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Paid/Denied within 10 calendar days for Hospice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95-100% = 25 Points</a:t>
          </a:r>
        </a:p>
        <a:p>
          <a:r>
            <a:rPr lang="en-US" sz="1100">
              <a:solidFill>
                <a:schemeClr val="dk1"/>
              </a:solidFill>
              <a:effectLst/>
              <a:latin typeface="+mn-lt"/>
              <a:ea typeface="+mn-ea"/>
              <a:cs typeface="+mn-cs"/>
            </a:rPr>
            <a:t>94.99% and below = 0 Points</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 Paid/Denied within 15 calendar days for Hospital</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95-100% = 25 Points</a:t>
          </a:r>
        </a:p>
        <a:p>
          <a:r>
            <a:rPr lang="en-US" sz="1100">
              <a:solidFill>
                <a:schemeClr val="dk1"/>
              </a:solidFill>
              <a:effectLst/>
              <a:latin typeface="+mn-lt"/>
              <a:ea typeface="+mn-ea"/>
              <a:cs typeface="+mn-cs"/>
            </a:rPr>
            <a:t>94.99% and below = 0 Points</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Paid/Denied within 15 calendar days for Durable Medical Equipment (DME)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95-100% = 25 Points</a:t>
          </a:r>
        </a:p>
        <a:p>
          <a:r>
            <a:rPr lang="en-US" sz="1100">
              <a:solidFill>
                <a:schemeClr val="dk1"/>
              </a:solidFill>
              <a:effectLst/>
              <a:latin typeface="+mn-lt"/>
              <a:ea typeface="+mn-ea"/>
              <a:cs typeface="+mn-cs"/>
            </a:rPr>
            <a:t>94.99% and below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 Paid/Denied within 15 calendar days for County Health Department</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95-100% = 25 Points</a:t>
          </a:r>
        </a:p>
        <a:p>
          <a:r>
            <a:rPr lang="en-US" sz="1100">
              <a:solidFill>
                <a:schemeClr val="dk1"/>
              </a:solidFill>
              <a:effectLst/>
              <a:latin typeface="+mn-lt"/>
              <a:ea typeface="+mn-ea"/>
              <a:cs typeface="+mn-cs"/>
            </a:rPr>
            <a:t>94.99% and below = 0 Points</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Paid/Denied 15 days for All Other Providers: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95-100% = 25 Points</a:t>
          </a:r>
        </a:p>
        <a:p>
          <a:r>
            <a:rPr lang="en-US" sz="1100">
              <a:solidFill>
                <a:schemeClr val="dk1"/>
              </a:solidFill>
              <a:effectLst/>
              <a:latin typeface="+mn-lt"/>
              <a:ea typeface="+mn-ea"/>
              <a:cs typeface="+mn-cs"/>
            </a:rPr>
            <a:t>94.99% and below = 0 Points</a:t>
          </a:r>
        </a:p>
        <a:p>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Timeliness of Non-Electronically Submitted Claims:</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Paid/Denied within 10 days: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90-100% = 50 Points</a:t>
          </a:r>
        </a:p>
        <a:p>
          <a:r>
            <a:rPr lang="en-US" sz="1100">
              <a:solidFill>
                <a:schemeClr val="dk1"/>
              </a:solidFill>
              <a:effectLst/>
              <a:latin typeface="+mn-lt"/>
              <a:ea typeface="+mn-ea"/>
              <a:cs typeface="+mn-cs"/>
            </a:rPr>
            <a:t>80-89.99% = 25 Points</a:t>
          </a:r>
        </a:p>
        <a:p>
          <a:r>
            <a:rPr lang="en-US" sz="1100">
              <a:solidFill>
                <a:schemeClr val="dk1"/>
              </a:solidFill>
              <a:effectLst/>
              <a:latin typeface="+mn-lt"/>
              <a:ea typeface="+mn-ea"/>
              <a:cs typeface="+mn-cs"/>
            </a:rPr>
            <a:t>79.99% and below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 Paid/Denied within 15 calendar days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95-100% = 25 Points</a:t>
          </a:r>
        </a:p>
        <a:p>
          <a:r>
            <a:rPr lang="en-US" sz="1100">
              <a:solidFill>
                <a:schemeClr val="dk1"/>
              </a:solidFill>
              <a:effectLst/>
              <a:latin typeface="+mn-lt"/>
              <a:ea typeface="+mn-ea"/>
              <a:cs typeface="+mn-cs"/>
            </a:rPr>
            <a:t>94.99% and below = 0 Points</a:t>
          </a:r>
        </a:p>
      </xdr:txBody>
    </xdr:sp>
    <xdr:clientData/>
  </xdr:twoCellAnchor>
  <xdr:twoCellAnchor>
    <xdr:from>
      <xdr:col>9</xdr:col>
      <xdr:colOff>57150</xdr:colOff>
      <xdr:row>2</xdr:row>
      <xdr:rowOff>180976</xdr:rowOff>
    </xdr:from>
    <xdr:to>
      <xdr:col>17</xdr:col>
      <xdr:colOff>542925</xdr:colOff>
      <xdr:row>44</xdr:row>
      <xdr:rowOff>114300</xdr:rowOff>
    </xdr:to>
    <xdr:sp macro="" textlink="">
      <xdr:nvSpPr>
        <xdr:cNvPr id="3" name="TextBox 2">
          <a:extLst>
            <a:ext uri="{FF2B5EF4-FFF2-40B4-BE49-F238E27FC236}">
              <a16:creationId xmlns:a16="http://schemas.microsoft.com/office/drawing/2014/main" id="{00000000-0008-0000-2800-000003000000}"/>
            </a:ext>
          </a:extLst>
        </xdr:cNvPr>
        <xdr:cNvSpPr txBox="1"/>
      </xdr:nvSpPr>
      <xdr:spPr>
        <a:xfrm>
          <a:off x="5543550" y="904876"/>
          <a:ext cx="5362575" cy="7934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 Paid/Denied within 20 calendar days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95-100% = 25 Points</a:t>
          </a:r>
        </a:p>
        <a:p>
          <a:r>
            <a:rPr lang="en-US" sz="1100">
              <a:solidFill>
                <a:schemeClr val="dk1"/>
              </a:solidFill>
              <a:effectLst/>
              <a:latin typeface="+mn-lt"/>
              <a:ea typeface="+mn-ea"/>
              <a:cs typeface="+mn-cs"/>
            </a:rPr>
            <a:t>94.99% and below = 0 Points</a:t>
          </a:r>
        </a:p>
        <a:p>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Accuracy:</a:t>
          </a:r>
          <a:r>
            <a:rPr lang="en-US" sz="1100" u="sng">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 Electronically Submitted Claims Accurately processed</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98-100% = 25 Points</a:t>
          </a:r>
        </a:p>
        <a:p>
          <a:r>
            <a:rPr lang="en-US" sz="1100">
              <a:solidFill>
                <a:schemeClr val="dk1"/>
              </a:solidFill>
              <a:effectLst/>
              <a:latin typeface="+mn-lt"/>
              <a:ea typeface="+mn-ea"/>
              <a:cs typeface="+mn-cs"/>
            </a:rPr>
            <a:t>95-97.99% = 20 Points</a:t>
          </a:r>
        </a:p>
        <a:p>
          <a:r>
            <a:rPr lang="en-US" sz="1100">
              <a:solidFill>
                <a:schemeClr val="dk1"/>
              </a:solidFill>
              <a:effectLst/>
              <a:latin typeface="+mn-lt"/>
              <a:ea typeface="+mn-ea"/>
              <a:cs typeface="+mn-cs"/>
            </a:rPr>
            <a:t>90-94.99% = 10 Points</a:t>
          </a:r>
        </a:p>
        <a:p>
          <a:r>
            <a:rPr lang="en-US" sz="1100">
              <a:solidFill>
                <a:schemeClr val="dk1"/>
              </a:solidFill>
              <a:effectLst/>
              <a:latin typeface="+mn-lt"/>
              <a:ea typeface="+mn-ea"/>
              <a:cs typeface="+mn-cs"/>
            </a:rPr>
            <a:t>89.99% and below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 Non-Electronically Submitted Claims Accurately processed</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98-100% = 25 Points</a:t>
          </a:r>
        </a:p>
        <a:p>
          <a:r>
            <a:rPr lang="en-US" sz="1100">
              <a:solidFill>
                <a:schemeClr val="dk1"/>
              </a:solidFill>
              <a:effectLst/>
              <a:latin typeface="+mn-lt"/>
              <a:ea typeface="+mn-ea"/>
              <a:cs typeface="+mn-cs"/>
            </a:rPr>
            <a:t>95-97.99% = 20 Points</a:t>
          </a:r>
        </a:p>
        <a:p>
          <a:r>
            <a:rPr lang="en-US" sz="1100">
              <a:solidFill>
                <a:schemeClr val="dk1"/>
              </a:solidFill>
              <a:effectLst/>
              <a:latin typeface="+mn-lt"/>
              <a:ea typeface="+mn-ea"/>
              <a:cs typeface="+mn-cs"/>
            </a:rPr>
            <a:t>90-94.99% = 10 Points</a:t>
          </a:r>
        </a:p>
        <a:p>
          <a:r>
            <a:rPr lang="en-US" sz="1100">
              <a:solidFill>
                <a:schemeClr val="dk1"/>
              </a:solidFill>
              <a:effectLst/>
              <a:latin typeface="+mn-lt"/>
              <a:ea typeface="+mn-ea"/>
              <a:cs typeface="+mn-cs"/>
            </a:rPr>
            <a:t>89.99% and below = 0 Points.</a:t>
          </a:r>
        </a:p>
        <a:p>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Claim Appeals/Grievances:</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Claim Disputes Overturned without the need for medical review</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0-5.99% Overturned = 25 Points</a:t>
          </a:r>
        </a:p>
        <a:p>
          <a:r>
            <a:rPr lang="en-US" sz="1100">
              <a:solidFill>
                <a:schemeClr val="dk1"/>
              </a:solidFill>
              <a:effectLst/>
              <a:latin typeface="+mn-lt"/>
              <a:ea typeface="+mn-ea"/>
              <a:cs typeface="+mn-cs"/>
            </a:rPr>
            <a:t>6-10.99% Overturned = 20 Points</a:t>
          </a:r>
        </a:p>
        <a:p>
          <a:r>
            <a:rPr lang="en-US" sz="1100">
              <a:solidFill>
                <a:schemeClr val="dk1"/>
              </a:solidFill>
              <a:effectLst/>
              <a:latin typeface="+mn-lt"/>
              <a:ea typeface="+mn-ea"/>
              <a:cs typeface="+mn-cs"/>
            </a:rPr>
            <a:t>11-20.99% Overturned = 10 Points</a:t>
          </a:r>
        </a:p>
        <a:p>
          <a:r>
            <a:rPr lang="en-US" sz="1100">
              <a:solidFill>
                <a:schemeClr val="dk1"/>
              </a:solidFill>
              <a:effectLst/>
              <a:latin typeface="+mn-lt"/>
              <a:ea typeface="+mn-ea"/>
              <a:cs typeface="+mn-cs"/>
            </a:rPr>
            <a:t>21% or more Overturned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The total number of points is the sum of all individual points earned.</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 total earned points possible is 375.</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 maximum Final Score Possible is 200.</a:t>
          </a:r>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The Final Score is calculated by multiplying the percentage of total points earned out of total points possible by the maximum Final Score Possible.</a:t>
          </a:r>
          <a:endParaRPr lang="en-US" sz="1100">
            <a:solidFill>
              <a:schemeClr val="dk1"/>
            </a:solidFill>
            <a:effectLst/>
            <a:latin typeface="+mn-lt"/>
            <a:ea typeface="+mn-ea"/>
            <a:cs typeface="+mn-cs"/>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85726</xdr:colOff>
      <xdr:row>4</xdr:row>
      <xdr:rowOff>19050</xdr:rowOff>
    </xdr:from>
    <xdr:to>
      <xdr:col>8</xdr:col>
      <xdr:colOff>523876</xdr:colOff>
      <xdr:row>44</xdr:row>
      <xdr:rowOff>95250</xdr:rowOff>
    </xdr:to>
    <xdr:sp macro="" textlink="">
      <xdr:nvSpPr>
        <xdr:cNvPr id="4" name="TextBox 1">
          <a:extLst>
            <a:ext uri="{FF2B5EF4-FFF2-40B4-BE49-F238E27FC236}">
              <a16:creationId xmlns:a16="http://schemas.microsoft.com/office/drawing/2014/main" id="{00000000-0008-0000-2A00-000004000000}"/>
            </a:ext>
          </a:extLst>
        </xdr:cNvPr>
        <xdr:cNvSpPr txBox="1"/>
      </xdr:nvSpPr>
      <xdr:spPr>
        <a:xfrm>
          <a:off x="85726" y="1266825"/>
          <a:ext cx="5314950" cy="7696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Scoring will be designated based upon the following criteria for each entry:</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Responsiveness to Provider-Initiated Interactions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Less than 24 hours = 10 Points</a:t>
          </a:r>
        </a:p>
        <a:p>
          <a:r>
            <a:rPr lang="en-US" sz="1100">
              <a:solidFill>
                <a:schemeClr val="dk1"/>
              </a:solidFill>
              <a:effectLst/>
              <a:latin typeface="+mn-lt"/>
              <a:ea typeface="+mn-ea"/>
              <a:cs typeface="+mn-cs"/>
            </a:rPr>
            <a:t>24 to 48 hours = 5 Points</a:t>
          </a:r>
        </a:p>
        <a:p>
          <a:r>
            <a:rPr lang="en-US" sz="1100">
              <a:solidFill>
                <a:schemeClr val="dk1"/>
              </a:solidFill>
              <a:effectLst/>
              <a:latin typeface="+mn-lt"/>
              <a:ea typeface="+mn-ea"/>
              <a:cs typeface="+mn-cs"/>
            </a:rPr>
            <a:t>More than 48 hours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Frequency of Reviews of Provider Complaint Reasons to Identify Training Needs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Daily = 5 Points</a:t>
          </a:r>
        </a:p>
        <a:p>
          <a:r>
            <a:rPr lang="en-US" sz="1100">
              <a:solidFill>
                <a:schemeClr val="dk1"/>
              </a:solidFill>
              <a:effectLst/>
              <a:latin typeface="+mn-lt"/>
              <a:ea typeface="+mn-ea"/>
              <a:cs typeface="+mn-cs"/>
            </a:rPr>
            <a:t>Weekly = 3 Points </a:t>
          </a:r>
        </a:p>
        <a:p>
          <a:r>
            <a:rPr lang="en-US" sz="1100">
              <a:solidFill>
                <a:schemeClr val="dk1"/>
              </a:solidFill>
              <a:effectLst/>
              <a:latin typeface="+mn-lt"/>
              <a:ea typeface="+mn-ea"/>
              <a:cs typeface="+mn-cs"/>
            </a:rPr>
            <a:t>Monthly = 1 Point</a:t>
          </a:r>
        </a:p>
        <a:p>
          <a:r>
            <a:rPr lang="en-US" sz="1100">
              <a:solidFill>
                <a:schemeClr val="dk1"/>
              </a:solidFill>
              <a:effectLst/>
              <a:latin typeface="+mn-lt"/>
              <a:ea typeface="+mn-ea"/>
              <a:cs typeface="+mn-cs"/>
            </a:rPr>
            <a:t>Less frequently than monthly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Frequency of Claim Denial Code Reviews to Identify Training Needs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Daily = 5 Points</a:t>
          </a:r>
        </a:p>
        <a:p>
          <a:r>
            <a:rPr lang="en-US" sz="1100">
              <a:solidFill>
                <a:schemeClr val="dk1"/>
              </a:solidFill>
              <a:effectLst/>
              <a:latin typeface="+mn-lt"/>
              <a:ea typeface="+mn-ea"/>
              <a:cs typeface="+mn-cs"/>
            </a:rPr>
            <a:t>Weekly = 3 Points </a:t>
          </a:r>
        </a:p>
        <a:p>
          <a:r>
            <a:rPr lang="en-US" sz="1100">
              <a:solidFill>
                <a:schemeClr val="dk1"/>
              </a:solidFill>
              <a:effectLst/>
              <a:latin typeface="+mn-lt"/>
              <a:ea typeface="+mn-ea"/>
              <a:cs typeface="+mn-cs"/>
            </a:rPr>
            <a:t>Monthly = 1 Point</a:t>
          </a:r>
        </a:p>
        <a:p>
          <a:r>
            <a:rPr lang="en-US" sz="1100">
              <a:solidFill>
                <a:schemeClr val="dk1"/>
              </a:solidFill>
              <a:effectLst/>
              <a:latin typeface="+mn-lt"/>
              <a:ea typeface="+mn-ea"/>
              <a:cs typeface="+mn-cs"/>
            </a:rPr>
            <a:t>Less frequently than monthly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Regularity of Meetings with Provider Associations</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Met regularly = 5 Points</a:t>
          </a:r>
        </a:p>
        <a:p>
          <a:r>
            <a:rPr lang="en-US" sz="1100">
              <a:solidFill>
                <a:schemeClr val="dk1"/>
              </a:solidFill>
              <a:effectLst/>
              <a:latin typeface="+mn-lt"/>
              <a:ea typeface="+mn-ea"/>
              <a:cs typeface="+mn-cs"/>
            </a:rPr>
            <a:t>Met irregularly or not at all = 0 Points</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Number of Meetings with Provider Associations During Review Period</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Met with 5 or more = 5 Points</a:t>
          </a:r>
        </a:p>
        <a:p>
          <a:r>
            <a:rPr lang="en-US" sz="1100">
              <a:solidFill>
                <a:schemeClr val="dk1"/>
              </a:solidFill>
              <a:effectLst/>
              <a:latin typeface="+mn-lt"/>
              <a:ea typeface="+mn-ea"/>
              <a:cs typeface="+mn-cs"/>
            </a:rPr>
            <a:t>Met with 1 to 4 = 3 Points</a:t>
          </a:r>
        </a:p>
        <a:p>
          <a:r>
            <a:rPr lang="en-US" sz="1100">
              <a:solidFill>
                <a:schemeClr val="dk1"/>
              </a:solidFill>
              <a:effectLst/>
              <a:latin typeface="+mn-lt"/>
              <a:ea typeface="+mn-ea"/>
              <a:cs typeface="+mn-cs"/>
            </a:rPr>
            <a:t>Did not meet = 0 Points</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Frequency of Provider Association Meetings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Monthly = 5 Points</a:t>
          </a:r>
        </a:p>
        <a:p>
          <a:r>
            <a:rPr lang="en-US" sz="1100">
              <a:solidFill>
                <a:schemeClr val="dk1"/>
              </a:solidFill>
              <a:effectLst/>
              <a:latin typeface="+mn-lt"/>
              <a:ea typeface="+mn-ea"/>
              <a:cs typeface="+mn-cs"/>
            </a:rPr>
            <a:t>Quarterly = 3 Points</a:t>
          </a:r>
        </a:p>
        <a:p>
          <a:r>
            <a:rPr lang="en-US" sz="1100">
              <a:solidFill>
                <a:schemeClr val="dk1"/>
              </a:solidFill>
              <a:effectLst/>
              <a:latin typeface="+mn-lt"/>
              <a:ea typeface="+mn-ea"/>
              <a:cs typeface="+mn-cs"/>
            </a:rPr>
            <a:t>Less than quarterly = 1 Point</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 of Provider Training Topics:</a:t>
          </a: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Service Coverage Guidelines</a:t>
          </a: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Service Authorization Requirements</a:t>
          </a: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Billing Procedures</a:t>
          </a: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Claims Processing</a:t>
          </a: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Payment Timeframes</a:t>
          </a: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Dispute Resolution Process and Timeframes</a:t>
          </a: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Agency Contract Requirements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All 7 topics indicated with additional topics added = 5 Points</a:t>
          </a:r>
        </a:p>
        <a:p>
          <a:r>
            <a:rPr lang="en-US" sz="1100">
              <a:solidFill>
                <a:schemeClr val="dk1"/>
              </a:solidFill>
              <a:effectLst/>
              <a:latin typeface="+mn-lt"/>
              <a:ea typeface="+mn-ea"/>
              <a:cs typeface="+mn-cs"/>
            </a:rPr>
            <a:t>At least 5 topics indicated with additional topics added = 1 Point</a:t>
          </a:r>
        </a:p>
        <a:p>
          <a:r>
            <a:rPr lang="en-US" sz="1100">
              <a:solidFill>
                <a:schemeClr val="dk1"/>
              </a:solidFill>
              <a:effectLst/>
              <a:latin typeface="+mn-lt"/>
              <a:ea typeface="+mn-ea"/>
              <a:cs typeface="+mn-cs"/>
            </a:rPr>
            <a:t>Less than five (5) topics indicated and/or did not add other topics = 0 Points</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xdr:txBody>
    </xdr:sp>
    <xdr:clientData/>
  </xdr:twoCellAnchor>
  <xdr:twoCellAnchor>
    <xdr:from>
      <xdr:col>9</xdr:col>
      <xdr:colOff>76201</xdr:colOff>
      <xdr:row>3</xdr:row>
      <xdr:rowOff>1</xdr:rowOff>
    </xdr:from>
    <xdr:to>
      <xdr:col>17</xdr:col>
      <xdr:colOff>514351</xdr:colOff>
      <xdr:row>16</xdr:row>
      <xdr:rowOff>133351</xdr:rowOff>
    </xdr:to>
    <xdr:sp macro="" textlink="">
      <xdr:nvSpPr>
        <xdr:cNvPr id="3" name="TextBox 2">
          <a:extLst>
            <a:ext uri="{FF2B5EF4-FFF2-40B4-BE49-F238E27FC236}">
              <a16:creationId xmlns:a16="http://schemas.microsoft.com/office/drawing/2014/main" id="{00000000-0008-0000-2A00-000003000000}"/>
            </a:ext>
          </a:extLst>
        </xdr:cNvPr>
        <xdr:cNvSpPr txBox="1"/>
      </xdr:nvSpPr>
      <xdr:spPr>
        <a:xfrm>
          <a:off x="6000751" y="800101"/>
          <a:ext cx="5314950" cy="2609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Routine Training Provided Live or In-Person</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At least 75% = 7 Points</a:t>
          </a:r>
        </a:p>
        <a:p>
          <a:r>
            <a:rPr lang="en-US" sz="1100">
              <a:solidFill>
                <a:schemeClr val="dk1"/>
              </a:solidFill>
              <a:effectLst/>
              <a:latin typeface="+mn-lt"/>
              <a:ea typeface="+mn-ea"/>
              <a:cs typeface="+mn-cs"/>
            </a:rPr>
            <a:t>50 to 74.99% = 5 Points</a:t>
          </a:r>
        </a:p>
        <a:p>
          <a:r>
            <a:rPr lang="en-US" sz="1100">
              <a:solidFill>
                <a:schemeClr val="dk1"/>
              </a:solidFill>
              <a:effectLst/>
              <a:latin typeface="+mn-lt"/>
              <a:ea typeface="+mn-ea"/>
              <a:cs typeface="+mn-cs"/>
            </a:rPr>
            <a:t>Less than 50% = 0 Points</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Frequency of Routine Training Provided</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Unscored</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The total number of points is the sum of all individual points earned for all three years.</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 total earned points possible is 141.</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 maximum Final Score Possible is 150.</a:t>
          </a:r>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The Final Score is calculated by multiplying the percentage of total points earned out of total points possible by the maximum Final Score Possible.</a:t>
          </a:r>
          <a:endParaRPr lang="en-US" sz="1100">
            <a:solidFill>
              <a:schemeClr val="dk1"/>
            </a:solidFill>
            <a:effectLst/>
            <a:latin typeface="+mn-lt"/>
            <a:ea typeface="+mn-ea"/>
            <a:cs typeface="+mn-cs"/>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85726</xdr:colOff>
      <xdr:row>3</xdr:row>
      <xdr:rowOff>0</xdr:rowOff>
    </xdr:from>
    <xdr:to>
      <xdr:col>7</xdr:col>
      <xdr:colOff>504825</xdr:colOff>
      <xdr:row>42</xdr:row>
      <xdr:rowOff>38100</xdr:rowOff>
    </xdr:to>
    <xdr:sp macro="" textlink="">
      <xdr:nvSpPr>
        <xdr:cNvPr id="8" name="TextBox 1">
          <a:extLst>
            <a:ext uri="{FF2B5EF4-FFF2-40B4-BE49-F238E27FC236}">
              <a16:creationId xmlns:a16="http://schemas.microsoft.com/office/drawing/2014/main" id="{00000000-0008-0000-2C00-000008000000}"/>
            </a:ext>
          </a:extLst>
        </xdr:cNvPr>
        <xdr:cNvSpPr txBox="1"/>
      </xdr:nvSpPr>
      <xdr:spPr>
        <a:xfrm>
          <a:off x="85726" y="866775"/>
          <a:ext cx="4962524" cy="7467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chemeClr val="dk1"/>
              </a:solidFill>
              <a:effectLst/>
              <a:latin typeface="+mn-lt"/>
              <a:ea typeface="+mn-ea"/>
              <a:cs typeface="+mn-cs"/>
            </a:rPr>
            <a:t>Scoring will be designated based upon the following criteria:</a:t>
          </a:r>
          <a:endParaRPr lang="en-US" sz="1050">
            <a:solidFill>
              <a:schemeClr val="dk1"/>
            </a:solidFill>
            <a:effectLst/>
            <a:latin typeface="+mn-lt"/>
            <a:ea typeface="+mn-ea"/>
            <a:cs typeface="+mn-cs"/>
          </a:endParaRPr>
        </a:p>
        <a:p>
          <a:r>
            <a:rPr lang="en-US" sz="1050" b="1">
              <a:solidFill>
                <a:schemeClr val="dk1"/>
              </a:solidFill>
              <a:effectLst/>
              <a:latin typeface="+mn-lt"/>
              <a:ea typeface="+mn-ea"/>
              <a:cs typeface="+mn-cs"/>
            </a:rPr>
            <a:t>1. Percentage of non-emergency transportation trips that resulted in an enrollee arriving on time for an appointment </a:t>
          </a:r>
          <a:endParaRPr lang="en-US" sz="1050">
            <a:solidFill>
              <a:schemeClr val="dk1"/>
            </a:solidFill>
            <a:effectLst/>
            <a:latin typeface="+mn-lt"/>
            <a:ea typeface="+mn-ea"/>
            <a:cs typeface="+mn-cs"/>
          </a:endParaRPr>
        </a:p>
        <a:p>
          <a:r>
            <a:rPr lang="en-US" sz="1050">
              <a:solidFill>
                <a:schemeClr val="dk1"/>
              </a:solidFill>
              <a:effectLst/>
              <a:latin typeface="+mn-lt"/>
              <a:ea typeface="+mn-ea"/>
              <a:cs typeface="+mn-cs"/>
            </a:rPr>
            <a:t>95% or greater = 10 Points</a:t>
          </a:r>
        </a:p>
        <a:p>
          <a:r>
            <a:rPr lang="en-US" sz="1050">
              <a:solidFill>
                <a:schemeClr val="dk1"/>
              </a:solidFill>
              <a:effectLst/>
              <a:latin typeface="+mn-lt"/>
              <a:ea typeface="+mn-ea"/>
              <a:cs typeface="+mn-cs"/>
            </a:rPr>
            <a:t>90-94.99% = 5 Points </a:t>
          </a:r>
        </a:p>
        <a:p>
          <a:r>
            <a:rPr lang="en-US" sz="1050">
              <a:solidFill>
                <a:schemeClr val="dk1"/>
              </a:solidFill>
              <a:effectLst/>
              <a:latin typeface="+mn-lt"/>
              <a:ea typeface="+mn-ea"/>
              <a:cs typeface="+mn-cs"/>
            </a:rPr>
            <a:t>89.99% or less = 0 Points</a:t>
          </a:r>
        </a:p>
        <a:p>
          <a:r>
            <a:rPr lang="en-US" sz="1050" b="1">
              <a:solidFill>
                <a:schemeClr val="dk1"/>
              </a:solidFill>
              <a:effectLst/>
              <a:latin typeface="+mn-lt"/>
              <a:ea typeface="+mn-ea"/>
              <a:cs typeface="+mn-cs"/>
            </a:rPr>
            <a:t> </a:t>
          </a:r>
          <a:endParaRPr lang="en-US" sz="1050">
            <a:solidFill>
              <a:schemeClr val="dk1"/>
            </a:solidFill>
            <a:effectLst/>
            <a:latin typeface="+mn-lt"/>
            <a:ea typeface="+mn-ea"/>
            <a:cs typeface="+mn-cs"/>
          </a:endParaRPr>
        </a:p>
        <a:p>
          <a:r>
            <a:rPr lang="en-US" sz="1050" b="1">
              <a:solidFill>
                <a:schemeClr val="dk1"/>
              </a:solidFill>
              <a:effectLst/>
              <a:latin typeface="+mn-lt"/>
              <a:ea typeface="+mn-ea"/>
              <a:cs typeface="+mn-cs"/>
            </a:rPr>
            <a:t>2. Percentage of non-emergency transportation trips that resulted in an enrollee arriving late for an established, standing order appointment  </a:t>
          </a:r>
          <a:endParaRPr lang="en-US" sz="1050">
            <a:solidFill>
              <a:schemeClr val="dk1"/>
            </a:solidFill>
            <a:effectLst/>
            <a:latin typeface="+mn-lt"/>
            <a:ea typeface="+mn-ea"/>
            <a:cs typeface="+mn-cs"/>
          </a:endParaRPr>
        </a:p>
        <a:p>
          <a:r>
            <a:rPr lang="en-US" sz="1050">
              <a:solidFill>
                <a:schemeClr val="dk1"/>
              </a:solidFill>
              <a:effectLst/>
              <a:latin typeface="+mn-lt"/>
              <a:ea typeface="+mn-ea"/>
              <a:cs typeface="+mn-cs"/>
            </a:rPr>
            <a:t>3% or less = 5 Points</a:t>
          </a:r>
        </a:p>
        <a:p>
          <a:r>
            <a:rPr lang="en-US" sz="1050">
              <a:solidFill>
                <a:schemeClr val="dk1"/>
              </a:solidFill>
              <a:effectLst/>
              <a:latin typeface="+mn-lt"/>
              <a:ea typeface="+mn-ea"/>
              <a:cs typeface="+mn-cs"/>
            </a:rPr>
            <a:t>3.01% or greater = 0 Points</a:t>
          </a:r>
        </a:p>
        <a:p>
          <a:r>
            <a:rPr lang="en-US" sz="1050" b="1">
              <a:solidFill>
                <a:schemeClr val="dk1"/>
              </a:solidFill>
              <a:effectLst/>
              <a:latin typeface="+mn-lt"/>
              <a:ea typeface="+mn-ea"/>
              <a:cs typeface="+mn-cs"/>
            </a:rPr>
            <a:t> </a:t>
          </a:r>
          <a:endParaRPr lang="en-US" sz="1050">
            <a:solidFill>
              <a:schemeClr val="dk1"/>
            </a:solidFill>
            <a:effectLst/>
            <a:latin typeface="+mn-lt"/>
            <a:ea typeface="+mn-ea"/>
            <a:cs typeface="+mn-cs"/>
          </a:endParaRPr>
        </a:p>
        <a:p>
          <a:r>
            <a:rPr lang="en-US" sz="1050" b="1">
              <a:solidFill>
                <a:schemeClr val="dk1"/>
              </a:solidFill>
              <a:effectLst/>
              <a:latin typeface="+mn-lt"/>
              <a:ea typeface="+mn-ea"/>
              <a:cs typeface="+mn-cs"/>
            </a:rPr>
            <a:t>3. Percentage of non-emergency transportation Leg A trips that resulted in pick-up of an enrollee within fifteen (15) minutes of the scheduled time</a:t>
          </a:r>
        </a:p>
        <a:p>
          <a:r>
            <a:rPr lang="en-US" sz="1100">
              <a:solidFill>
                <a:schemeClr val="dk1"/>
              </a:solidFill>
              <a:effectLst/>
              <a:latin typeface="+mn-lt"/>
              <a:ea typeface="+mn-ea"/>
              <a:cs typeface="+mn-cs"/>
            </a:rPr>
            <a:t>95% or greater = 10 Points </a:t>
          </a:r>
          <a:endParaRPr lang="en-US" sz="1050">
            <a:effectLst/>
          </a:endParaRPr>
        </a:p>
        <a:p>
          <a:r>
            <a:rPr lang="en-US" sz="1100">
              <a:solidFill>
                <a:schemeClr val="dk1"/>
              </a:solidFill>
              <a:effectLst/>
              <a:latin typeface="+mn-lt"/>
              <a:ea typeface="+mn-ea"/>
              <a:cs typeface="+mn-cs"/>
            </a:rPr>
            <a:t>90-94.99% = 5 Points</a:t>
          </a:r>
          <a:endParaRPr lang="en-US" sz="1050">
            <a:effectLst/>
          </a:endParaRPr>
        </a:p>
        <a:p>
          <a:r>
            <a:rPr lang="en-US" sz="1100">
              <a:solidFill>
                <a:schemeClr val="dk1"/>
              </a:solidFill>
              <a:effectLst/>
              <a:latin typeface="+mn-lt"/>
              <a:ea typeface="+mn-ea"/>
              <a:cs typeface="+mn-cs"/>
            </a:rPr>
            <a:t>89.99% or less = 0 Points </a:t>
          </a:r>
          <a:endParaRPr lang="en-US" sz="1050" b="1">
            <a:solidFill>
              <a:schemeClr val="dk1"/>
            </a:solidFill>
            <a:effectLst/>
            <a:latin typeface="+mn-lt"/>
            <a:ea typeface="+mn-ea"/>
            <a:cs typeface="+mn-cs"/>
          </a:endParaRPr>
        </a:p>
        <a:p>
          <a:endParaRPr lang="en-US" sz="1050" b="1">
            <a:solidFill>
              <a:schemeClr val="dk1"/>
            </a:solidFill>
            <a:effectLst/>
            <a:latin typeface="+mn-lt"/>
            <a:ea typeface="+mn-ea"/>
            <a:cs typeface="+mn-cs"/>
          </a:endParaRPr>
        </a:p>
        <a:p>
          <a:r>
            <a:rPr lang="en-US" sz="1050" b="1">
              <a:solidFill>
                <a:schemeClr val="dk1"/>
              </a:solidFill>
              <a:effectLst/>
              <a:latin typeface="+mn-lt"/>
              <a:ea typeface="+mn-ea"/>
              <a:cs typeface="+mn-cs"/>
            </a:rPr>
            <a:t>4. Percentage of non-emergency transportation Leg B trips that resulted in pick-up of an enrollee within thirty (30) minutes of the scheduled time</a:t>
          </a:r>
          <a:r>
            <a:rPr lang="en-US" sz="1050">
              <a:solidFill>
                <a:schemeClr val="dk1"/>
              </a:solidFill>
              <a:effectLst/>
              <a:latin typeface="+mn-lt"/>
              <a:ea typeface="+mn-ea"/>
              <a:cs typeface="+mn-cs"/>
            </a:rPr>
            <a:t> </a:t>
          </a:r>
        </a:p>
        <a:p>
          <a:r>
            <a:rPr lang="en-US" sz="1050">
              <a:solidFill>
                <a:schemeClr val="dk1"/>
              </a:solidFill>
              <a:effectLst/>
              <a:latin typeface="+mn-lt"/>
              <a:ea typeface="+mn-ea"/>
              <a:cs typeface="+mn-cs"/>
            </a:rPr>
            <a:t>95% or greater = 10 Points </a:t>
          </a:r>
        </a:p>
        <a:p>
          <a:r>
            <a:rPr lang="en-US" sz="1050">
              <a:solidFill>
                <a:schemeClr val="dk1"/>
              </a:solidFill>
              <a:effectLst/>
              <a:latin typeface="+mn-lt"/>
              <a:ea typeface="+mn-ea"/>
              <a:cs typeface="+mn-cs"/>
            </a:rPr>
            <a:t>90-94.99% = 5 Points</a:t>
          </a:r>
        </a:p>
        <a:p>
          <a:r>
            <a:rPr lang="en-US" sz="1050">
              <a:solidFill>
                <a:schemeClr val="dk1"/>
              </a:solidFill>
              <a:effectLst/>
              <a:latin typeface="+mn-lt"/>
              <a:ea typeface="+mn-ea"/>
              <a:cs typeface="+mn-cs"/>
            </a:rPr>
            <a:t>89.99% or less = 0 Points </a:t>
          </a:r>
        </a:p>
        <a:p>
          <a:r>
            <a:rPr lang="en-US" sz="1050" b="1">
              <a:solidFill>
                <a:schemeClr val="dk1"/>
              </a:solidFill>
              <a:effectLst/>
              <a:latin typeface="+mn-lt"/>
              <a:ea typeface="+mn-ea"/>
              <a:cs typeface="+mn-cs"/>
            </a:rPr>
            <a:t> </a:t>
          </a:r>
          <a:endParaRPr lang="en-US" sz="1050">
            <a:solidFill>
              <a:schemeClr val="dk1"/>
            </a:solidFill>
            <a:effectLst/>
            <a:latin typeface="+mn-lt"/>
            <a:ea typeface="+mn-ea"/>
            <a:cs typeface="+mn-cs"/>
          </a:endParaRPr>
        </a:p>
        <a:p>
          <a:r>
            <a:rPr lang="en-US" sz="1050" b="1">
              <a:solidFill>
                <a:schemeClr val="dk1"/>
              </a:solidFill>
              <a:effectLst/>
              <a:latin typeface="+mn-lt"/>
              <a:ea typeface="+mn-ea"/>
              <a:cs typeface="+mn-cs"/>
            </a:rPr>
            <a:t>5.</a:t>
          </a:r>
          <a:r>
            <a:rPr lang="en-US" sz="1050" b="1" baseline="0">
              <a:solidFill>
                <a:schemeClr val="dk1"/>
              </a:solidFill>
              <a:effectLst/>
              <a:latin typeface="+mn-lt"/>
              <a:ea typeface="+mn-ea"/>
              <a:cs typeface="+mn-cs"/>
            </a:rPr>
            <a:t> </a:t>
          </a:r>
          <a:r>
            <a:rPr lang="en-US" sz="1050" b="1">
              <a:solidFill>
                <a:schemeClr val="dk1"/>
              </a:solidFill>
              <a:effectLst/>
              <a:latin typeface="+mn-lt"/>
              <a:ea typeface="+mn-ea"/>
              <a:cs typeface="+mn-cs"/>
            </a:rPr>
            <a:t>Percent of non-emergency transportation service requests for transporting an enrollee to an urgent care center </a:t>
          </a:r>
          <a:r>
            <a:rPr lang="en-US" sz="1100" b="1">
              <a:solidFill>
                <a:schemeClr val="dk1"/>
              </a:solidFill>
              <a:effectLst/>
              <a:latin typeface="+mn-lt"/>
              <a:ea typeface="+mn-ea"/>
              <a:cs typeface="+mn-cs"/>
            </a:rPr>
            <a:t>fulfilled within three (3) hours of receiving the request</a:t>
          </a:r>
          <a:endParaRPr lang="en-US" sz="1050" b="1">
            <a:solidFill>
              <a:schemeClr val="dk1"/>
            </a:solidFill>
            <a:effectLst/>
            <a:latin typeface="+mn-lt"/>
            <a:ea typeface="+mn-ea"/>
            <a:cs typeface="+mn-cs"/>
          </a:endParaRPr>
        </a:p>
        <a:p>
          <a:r>
            <a:rPr lang="en-US" sz="1100">
              <a:solidFill>
                <a:schemeClr val="dk1"/>
              </a:solidFill>
              <a:effectLst/>
              <a:latin typeface="+mn-lt"/>
              <a:ea typeface="+mn-ea"/>
              <a:cs typeface="+mn-cs"/>
            </a:rPr>
            <a:t>95% or greater = 10 Points </a:t>
          </a:r>
          <a:endParaRPr lang="en-US" sz="1050">
            <a:effectLst/>
          </a:endParaRPr>
        </a:p>
        <a:p>
          <a:r>
            <a:rPr lang="en-US" sz="1100">
              <a:solidFill>
                <a:schemeClr val="dk1"/>
              </a:solidFill>
              <a:effectLst/>
              <a:latin typeface="+mn-lt"/>
              <a:ea typeface="+mn-ea"/>
              <a:cs typeface="+mn-cs"/>
            </a:rPr>
            <a:t>85-94.99% = 5 Points </a:t>
          </a:r>
          <a:endParaRPr lang="en-US" sz="1050">
            <a:effectLst/>
          </a:endParaRPr>
        </a:p>
        <a:p>
          <a:r>
            <a:rPr lang="en-US" sz="1100">
              <a:solidFill>
                <a:schemeClr val="dk1"/>
              </a:solidFill>
              <a:effectLst/>
              <a:latin typeface="+mn-lt"/>
              <a:ea typeface="+mn-ea"/>
              <a:cs typeface="+mn-cs"/>
            </a:rPr>
            <a:t>84.99% or less = 0 Points </a:t>
          </a:r>
          <a:endParaRPr lang="en-US" sz="1050">
            <a:effectLst/>
          </a:endParaRPr>
        </a:p>
        <a:p>
          <a:endParaRPr lang="en-US" sz="1050" b="1">
            <a:solidFill>
              <a:schemeClr val="dk1"/>
            </a:solidFill>
            <a:effectLst/>
            <a:latin typeface="+mn-lt"/>
            <a:ea typeface="+mn-ea"/>
            <a:cs typeface="+mn-cs"/>
          </a:endParaRPr>
        </a:p>
        <a:p>
          <a:r>
            <a:rPr lang="en-US" sz="1050" b="1">
              <a:solidFill>
                <a:schemeClr val="dk1"/>
              </a:solidFill>
              <a:effectLst/>
              <a:latin typeface="+mn-lt"/>
              <a:ea typeface="+mn-ea"/>
              <a:cs typeface="+mn-cs"/>
            </a:rPr>
            <a:t>6. Percentage of non-emergency transportation service requests for transporting enrollee following discharge from a hospital fulfilled within three (3) hours of receiving the request</a:t>
          </a:r>
          <a:endParaRPr lang="en-US" sz="1050">
            <a:solidFill>
              <a:schemeClr val="dk1"/>
            </a:solidFill>
            <a:effectLst/>
            <a:latin typeface="+mn-lt"/>
            <a:ea typeface="+mn-ea"/>
            <a:cs typeface="+mn-cs"/>
          </a:endParaRPr>
        </a:p>
        <a:p>
          <a:r>
            <a:rPr lang="en-US" sz="1050">
              <a:solidFill>
                <a:schemeClr val="dk1"/>
              </a:solidFill>
              <a:effectLst/>
              <a:latin typeface="+mn-lt"/>
              <a:ea typeface="+mn-ea"/>
              <a:cs typeface="+mn-cs"/>
            </a:rPr>
            <a:t>95% or greater = 10 Points </a:t>
          </a:r>
        </a:p>
        <a:p>
          <a:r>
            <a:rPr lang="en-US" sz="1050">
              <a:solidFill>
                <a:schemeClr val="dk1"/>
              </a:solidFill>
              <a:effectLst/>
              <a:latin typeface="+mn-lt"/>
              <a:ea typeface="+mn-ea"/>
              <a:cs typeface="+mn-cs"/>
            </a:rPr>
            <a:t>85-94.99% = 5 Points </a:t>
          </a:r>
        </a:p>
        <a:p>
          <a:r>
            <a:rPr lang="en-US" sz="1050">
              <a:solidFill>
                <a:schemeClr val="dk1"/>
              </a:solidFill>
              <a:effectLst/>
              <a:latin typeface="+mn-lt"/>
              <a:ea typeface="+mn-ea"/>
              <a:cs typeface="+mn-cs"/>
            </a:rPr>
            <a:t>84.99% or less = 0 Points </a:t>
          </a:r>
        </a:p>
        <a:p>
          <a:endParaRPr lang="en-US" sz="1050" b="1">
            <a:solidFill>
              <a:schemeClr val="dk1"/>
            </a:solidFill>
            <a:effectLst/>
            <a:latin typeface="+mn-lt"/>
            <a:ea typeface="+mn-ea"/>
            <a:cs typeface="+mn-cs"/>
          </a:endParaRPr>
        </a:p>
        <a:p>
          <a:r>
            <a:rPr lang="en-US" sz="1100" b="1">
              <a:solidFill>
                <a:schemeClr val="dk1"/>
              </a:solidFill>
              <a:effectLst/>
              <a:latin typeface="+mn-lt"/>
              <a:ea typeface="+mn-ea"/>
              <a:cs typeface="+mn-cs"/>
            </a:rPr>
            <a:t>7.</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Percentage of missed non-emergency transportation trips due to fault of the non-emergency transportation provider </a:t>
          </a:r>
          <a:endParaRPr lang="en-US" sz="1050">
            <a:effectLst/>
          </a:endParaRPr>
        </a:p>
        <a:p>
          <a:r>
            <a:rPr lang="en-US" sz="1100">
              <a:solidFill>
                <a:schemeClr val="dk1"/>
              </a:solidFill>
              <a:effectLst/>
              <a:latin typeface="+mn-lt"/>
              <a:ea typeface="+mn-ea"/>
              <a:cs typeface="+mn-cs"/>
            </a:rPr>
            <a:t>0.2% or less = 5 Points</a:t>
          </a:r>
          <a:endParaRPr lang="en-US" sz="1050">
            <a:effectLst/>
          </a:endParaRPr>
        </a:p>
        <a:p>
          <a:r>
            <a:rPr lang="en-US" sz="1100">
              <a:solidFill>
                <a:schemeClr val="dk1"/>
              </a:solidFill>
              <a:effectLst/>
              <a:latin typeface="+mn-lt"/>
              <a:ea typeface="+mn-ea"/>
              <a:cs typeface="+mn-cs"/>
            </a:rPr>
            <a:t>0.21% or greater = 0 Points</a:t>
          </a:r>
          <a:endParaRPr lang="en-US" sz="1050" b="1">
            <a:solidFill>
              <a:schemeClr val="dk1"/>
            </a:solidFill>
            <a:effectLst/>
            <a:latin typeface="+mn-lt"/>
            <a:ea typeface="+mn-ea"/>
            <a:cs typeface="+mn-cs"/>
          </a:endParaRPr>
        </a:p>
        <a:p>
          <a:endParaRPr lang="en-US" sz="1050">
            <a:solidFill>
              <a:schemeClr val="dk1"/>
            </a:solidFill>
            <a:effectLst/>
            <a:latin typeface="+mn-lt"/>
            <a:ea typeface="+mn-ea"/>
            <a:cs typeface="+mn-cs"/>
          </a:endParaRPr>
        </a:p>
      </xdr:txBody>
    </xdr:sp>
    <xdr:clientData/>
  </xdr:twoCellAnchor>
  <xdr:twoCellAnchor>
    <xdr:from>
      <xdr:col>8</xdr:col>
      <xdr:colOff>19050</xdr:colOff>
      <xdr:row>2</xdr:row>
      <xdr:rowOff>28575</xdr:rowOff>
    </xdr:from>
    <xdr:to>
      <xdr:col>16</xdr:col>
      <xdr:colOff>400050</xdr:colOff>
      <xdr:row>25</xdr:row>
      <xdr:rowOff>0</xdr:rowOff>
    </xdr:to>
    <xdr:sp macro="" textlink="">
      <xdr:nvSpPr>
        <xdr:cNvPr id="11" name="TextBox 1">
          <a:extLst>
            <a:ext uri="{FF2B5EF4-FFF2-40B4-BE49-F238E27FC236}">
              <a16:creationId xmlns:a16="http://schemas.microsoft.com/office/drawing/2014/main" id="{00000000-0008-0000-2C00-00000B000000}"/>
            </a:ext>
          </a:extLst>
        </xdr:cNvPr>
        <xdr:cNvSpPr txBox="1"/>
      </xdr:nvSpPr>
      <xdr:spPr>
        <a:xfrm>
          <a:off x="5572125" y="590550"/>
          <a:ext cx="6143625" cy="446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8. Tracking Capability-Real-Time </a:t>
          </a:r>
          <a:endParaRPr lang="en-US">
            <a:effectLst/>
          </a:endParaRPr>
        </a:p>
        <a:p>
          <a:r>
            <a:rPr lang="en-US" sz="1100">
              <a:solidFill>
                <a:schemeClr val="dk1"/>
              </a:solidFill>
              <a:effectLst/>
              <a:latin typeface="+mn-lt"/>
              <a:ea typeface="+mn-ea"/>
              <a:cs typeface="+mn-cs"/>
            </a:rPr>
            <a:t>Yes = 5 Points; No = 0 Points</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9. Tracking Capability-Assessing Missed Trips</a:t>
          </a:r>
          <a:endParaRPr lang="en-US">
            <a:effectLst/>
          </a:endParaRPr>
        </a:p>
        <a:p>
          <a:r>
            <a:rPr lang="en-US" sz="1100">
              <a:solidFill>
                <a:schemeClr val="dk1"/>
              </a:solidFill>
              <a:effectLst/>
              <a:latin typeface="+mn-lt"/>
              <a:ea typeface="+mn-ea"/>
              <a:cs typeface="+mn-cs"/>
            </a:rPr>
            <a:t>Yes = 5 Points; No = 0 Points</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The total number of points is the sum of all individual points earned for all three states.</a:t>
          </a:r>
          <a:endParaRPr lang="en-US">
            <a:effectLst/>
          </a:endParaRPr>
        </a:p>
        <a:p>
          <a:r>
            <a:rPr lang="en-US" sz="1100" b="1">
              <a:solidFill>
                <a:schemeClr val="dk1"/>
              </a:solidFill>
              <a:effectLst/>
              <a:latin typeface="+mn-lt"/>
              <a:ea typeface="+mn-ea"/>
              <a:cs typeface="+mn-cs"/>
            </a:rPr>
            <a:t>The total earned points possible is 210.</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The maximum Final Score Possible is 100.</a:t>
          </a:r>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The Final Score is calculated by multiplying the percentage of total points earned out of total points possible by the maximum Final Score Possible.</a:t>
          </a:r>
          <a:endParaRPr lang="en-US">
            <a:effectLst/>
          </a:endParaRPr>
        </a:p>
        <a:p>
          <a:endParaRPr 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59872</xdr:colOff>
      <xdr:row>24</xdr:row>
      <xdr:rowOff>0</xdr:rowOff>
    </xdr:from>
    <xdr:to>
      <xdr:col>4</xdr:col>
      <xdr:colOff>1171575</xdr:colOff>
      <xdr:row>42</xdr:row>
      <xdr:rowOff>180975</xdr:rowOff>
    </xdr:to>
    <xdr:sp macro="" textlink="">
      <xdr:nvSpPr>
        <xdr:cNvPr id="13" name="TextBox 1">
          <a:extLst>
            <a:ext uri="{FF2B5EF4-FFF2-40B4-BE49-F238E27FC236}">
              <a16:creationId xmlns:a16="http://schemas.microsoft.com/office/drawing/2014/main" id="{00000000-0008-0000-2E00-00000D000000}"/>
            </a:ext>
          </a:extLst>
        </xdr:cNvPr>
        <xdr:cNvSpPr txBox="1"/>
      </xdr:nvSpPr>
      <xdr:spPr>
        <a:xfrm>
          <a:off x="59872" y="5153025"/>
          <a:ext cx="6350453" cy="3552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dk1"/>
              </a:solidFill>
              <a:effectLst/>
              <a:latin typeface="+mn-lt"/>
              <a:ea typeface="+mn-ea"/>
              <a:cs typeface="+mn-cs"/>
            </a:rPr>
            <a:t>Health Plan CAHPS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Health Plan Rating - Adult</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Exceeds National Medicaid Mean = 1 Point</a:t>
          </a:r>
        </a:p>
        <a:p>
          <a:r>
            <a:rPr lang="en-US" sz="1100">
              <a:solidFill>
                <a:schemeClr val="dk1"/>
              </a:solidFill>
              <a:effectLst/>
              <a:latin typeface="+mn-lt"/>
              <a:ea typeface="+mn-ea"/>
              <a:cs typeface="+mn-cs"/>
            </a:rPr>
            <a:t>Does Not Exceed National Medicaid Mean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Health Plan Rating - Child</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Exceeds National Medicaid Mean = 1 Point</a:t>
          </a:r>
        </a:p>
        <a:p>
          <a:r>
            <a:rPr lang="en-US" sz="1100">
              <a:solidFill>
                <a:schemeClr val="dk1"/>
              </a:solidFill>
              <a:effectLst/>
              <a:latin typeface="+mn-lt"/>
              <a:ea typeface="+mn-ea"/>
              <a:cs typeface="+mn-cs"/>
            </a:rPr>
            <a:t>Does Not Exceed National Medicaid Mean = 0 Points</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Health Care Rating - Adult</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Exceeds National Medicaid Mean = 1 Point</a:t>
          </a:r>
        </a:p>
        <a:p>
          <a:r>
            <a:rPr lang="en-US" sz="1100">
              <a:solidFill>
                <a:schemeClr val="dk1"/>
              </a:solidFill>
              <a:effectLst/>
              <a:latin typeface="+mn-lt"/>
              <a:ea typeface="+mn-ea"/>
              <a:cs typeface="+mn-cs"/>
            </a:rPr>
            <a:t>Does Not Exceed National Medicaid Mean = 0 Points</a:t>
          </a:r>
        </a:p>
      </xdr:txBody>
    </xdr:sp>
    <xdr:clientData/>
  </xdr:twoCellAnchor>
  <xdr:twoCellAnchor>
    <xdr:from>
      <xdr:col>0</xdr:col>
      <xdr:colOff>88448</xdr:colOff>
      <xdr:row>3</xdr:row>
      <xdr:rowOff>66674</xdr:rowOff>
    </xdr:from>
    <xdr:to>
      <xdr:col>4</xdr:col>
      <xdr:colOff>1209675</xdr:colOff>
      <xdr:row>17</xdr:row>
      <xdr:rowOff>76200</xdr:rowOff>
    </xdr:to>
    <xdr:sp macro="" textlink="">
      <xdr:nvSpPr>
        <xdr:cNvPr id="14" name="TextBox 1">
          <a:extLst>
            <a:ext uri="{FF2B5EF4-FFF2-40B4-BE49-F238E27FC236}">
              <a16:creationId xmlns:a16="http://schemas.microsoft.com/office/drawing/2014/main" id="{00000000-0008-0000-2E00-00000E000000}"/>
            </a:ext>
          </a:extLst>
        </xdr:cNvPr>
        <xdr:cNvSpPr txBox="1"/>
      </xdr:nvSpPr>
      <xdr:spPr>
        <a:xfrm>
          <a:off x="88448" y="981074"/>
          <a:ext cx="5836102" cy="2838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Scoring will be designated based upon the following criteria:</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There are thirty-nine (39) opportunities for a respondent to report prior experience in providing desirable experiences with health care and HCBS:</a:t>
          </a:r>
        </a:p>
        <a:p>
          <a:pPr lvl="0"/>
          <a:r>
            <a:rPr lang="en-US" sz="1100">
              <a:solidFill>
                <a:schemeClr val="dk1"/>
              </a:solidFill>
              <a:effectLst/>
              <a:latin typeface="+mn-lt"/>
              <a:ea typeface="+mn-ea"/>
              <a:cs typeface="+mn-cs"/>
            </a:rPr>
            <a:t>• Five (5) health plan measures, three (3) states each, adult population for each, and child population for each</a:t>
          </a:r>
        </a:p>
        <a:p>
          <a:pPr lvl="0"/>
          <a:r>
            <a:rPr lang="en-US" sz="1100">
              <a:solidFill>
                <a:schemeClr val="dk1"/>
              </a:solidFill>
              <a:effectLst/>
              <a:latin typeface="+mn-lt"/>
              <a:ea typeface="+mn-ea"/>
              <a:cs typeface="+mn-cs"/>
            </a:rPr>
            <a:t>• Three (3) HCBS measures, three (3) states each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For Health Plan Consumer Assessment of Healthcare Providers and Systems (CAHPS), the respondent will be awarded:</a:t>
          </a:r>
        </a:p>
        <a:p>
          <a:pPr lvl="0"/>
          <a:r>
            <a:rPr lang="en-US" sz="1100">
              <a:solidFill>
                <a:schemeClr val="dk1"/>
              </a:solidFill>
              <a:effectLst/>
              <a:latin typeface="+mn-lt"/>
              <a:ea typeface="+mn-ea"/>
              <a:cs typeface="+mn-cs"/>
            </a:rPr>
            <a:t>• One (1) point if their reported plan rate exceeded the national Medicaid mean, for each available state, for adults and for children, respectively.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For HCBS CAHPS, the Respondent will be awarded:</a:t>
          </a:r>
        </a:p>
        <a:p>
          <a:pPr lvl="0"/>
          <a:r>
            <a:rPr lang="en-US" sz="1100">
              <a:solidFill>
                <a:schemeClr val="dk1"/>
              </a:solidFill>
              <a:effectLst/>
              <a:latin typeface="+mn-lt"/>
              <a:ea typeface="+mn-ea"/>
              <a:cs typeface="+mn-cs"/>
            </a:rPr>
            <a:t>• One (1) point if their reported CY2022 </a:t>
          </a:r>
        </a:p>
        <a:p>
          <a:pPr lvl="0"/>
          <a:r>
            <a:rPr lang="en-US" sz="1100">
              <a:solidFill>
                <a:schemeClr val="dk1"/>
              </a:solidFill>
              <a:effectLst/>
              <a:latin typeface="+mn-lt"/>
              <a:ea typeface="+mn-ea"/>
              <a:cs typeface="+mn-cs"/>
            </a:rPr>
            <a:t>plan rate exceeded the Florida Medicaid mean for each available state.</a:t>
          </a:r>
        </a:p>
      </xdr:txBody>
    </xdr:sp>
    <xdr:clientData/>
  </xdr:twoCellAnchor>
  <xdr:twoCellAnchor>
    <xdr:from>
      <xdr:col>0</xdr:col>
      <xdr:colOff>88447</xdr:colOff>
      <xdr:row>23</xdr:row>
      <xdr:rowOff>85725</xdr:rowOff>
    </xdr:from>
    <xdr:to>
      <xdr:col>4</xdr:col>
      <xdr:colOff>1181100</xdr:colOff>
      <xdr:row>36</xdr:row>
      <xdr:rowOff>95250</xdr:rowOff>
    </xdr:to>
    <xdr:sp macro="" textlink="">
      <xdr:nvSpPr>
        <xdr:cNvPr id="6" name="TextBox 1">
          <a:extLst>
            <a:ext uri="{FF2B5EF4-FFF2-40B4-BE49-F238E27FC236}">
              <a16:creationId xmlns:a16="http://schemas.microsoft.com/office/drawing/2014/main" id="{00000000-0008-0000-2E00-000006000000}"/>
            </a:ext>
          </a:extLst>
        </xdr:cNvPr>
        <xdr:cNvSpPr txBox="1"/>
      </xdr:nvSpPr>
      <xdr:spPr>
        <a:xfrm>
          <a:off x="88447" y="6343650"/>
          <a:ext cx="5807528"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dk1"/>
              </a:solidFill>
              <a:effectLst/>
              <a:latin typeface="+mn-lt"/>
              <a:ea typeface="+mn-ea"/>
              <a:cs typeface="+mn-cs"/>
            </a:rPr>
            <a:t>Health Plan CAHPS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Health Plan Rating - Adult</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Exceeds National Medicaid Mean = 1 Point</a:t>
          </a:r>
        </a:p>
        <a:p>
          <a:r>
            <a:rPr lang="en-US" sz="1100">
              <a:solidFill>
                <a:schemeClr val="dk1"/>
              </a:solidFill>
              <a:effectLst/>
              <a:latin typeface="+mn-lt"/>
              <a:ea typeface="+mn-ea"/>
              <a:cs typeface="+mn-cs"/>
            </a:rPr>
            <a:t>Does Not Exceed National Medicaid Mean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Health Plan Rating - Child</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Exceeds National Medicaid Mean = 1 Point</a:t>
          </a:r>
        </a:p>
        <a:p>
          <a:r>
            <a:rPr lang="en-US" sz="1100">
              <a:solidFill>
                <a:schemeClr val="dk1"/>
              </a:solidFill>
              <a:effectLst/>
              <a:latin typeface="+mn-lt"/>
              <a:ea typeface="+mn-ea"/>
              <a:cs typeface="+mn-cs"/>
            </a:rPr>
            <a:t>Does Not Exceed National Medicaid Mean = 0 Points</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Health Care Rating - Adult</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Exceeds National Medicaid Mean = 1 Point</a:t>
          </a:r>
        </a:p>
        <a:p>
          <a:r>
            <a:rPr lang="en-US" sz="1100">
              <a:solidFill>
                <a:schemeClr val="dk1"/>
              </a:solidFill>
              <a:effectLst/>
              <a:latin typeface="+mn-lt"/>
              <a:ea typeface="+mn-ea"/>
              <a:cs typeface="+mn-cs"/>
            </a:rPr>
            <a:t>Does Not Exceed National Medicaid Mean = 0 Points</a:t>
          </a:r>
        </a:p>
      </xdr:txBody>
    </xdr:sp>
    <xdr:clientData/>
  </xdr:twoCellAnchor>
  <xdr:twoCellAnchor>
    <xdr:from>
      <xdr:col>5</xdr:col>
      <xdr:colOff>76200</xdr:colOff>
      <xdr:row>2</xdr:row>
      <xdr:rowOff>19050</xdr:rowOff>
    </xdr:from>
    <xdr:to>
      <xdr:col>13</xdr:col>
      <xdr:colOff>533400</xdr:colOff>
      <xdr:row>42</xdr:row>
      <xdr:rowOff>85725</xdr:rowOff>
    </xdr:to>
    <xdr:sp macro="" textlink="">
      <xdr:nvSpPr>
        <xdr:cNvPr id="9" name="TextBox 1">
          <a:extLst>
            <a:ext uri="{FF2B5EF4-FFF2-40B4-BE49-F238E27FC236}">
              <a16:creationId xmlns:a16="http://schemas.microsoft.com/office/drawing/2014/main" id="{00000000-0008-0000-2E00-000009000000}"/>
            </a:ext>
          </a:extLst>
        </xdr:cNvPr>
        <xdr:cNvSpPr txBox="1"/>
      </xdr:nvSpPr>
      <xdr:spPr>
        <a:xfrm>
          <a:off x="6057900" y="590550"/>
          <a:ext cx="5334000" cy="822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Health Care Rating - Child</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Exceeds National Medicaid Mean = 1 Point</a:t>
          </a:r>
        </a:p>
        <a:p>
          <a:r>
            <a:rPr lang="en-US" sz="1100">
              <a:solidFill>
                <a:schemeClr val="dk1"/>
              </a:solidFill>
              <a:effectLst/>
              <a:latin typeface="+mn-lt"/>
              <a:ea typeface="+mn-ea"/>
              <a:cs typeface="+mn-cs"/>
            </a:rPr>
            <a:t>Does Not Exceed National Medicaid Mean = 0 Points</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Getting Needed Care - Adult</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Exceeds National Medicaid Mean = 1 Point</a:t>
          </a:r>
        </a:p>
        <a:p>
          <a:r>
            <a:rPr lang="en-US" sz="1100">
              <a:solidFill>
                <a:schemeClr val="dk1"/>
              </a:solidFill>
              <a:effectLst/>
              <a:latin typeface="+mn-lt"/>
              <a:ea typeface="+mn-ea"/>
              <a:cs typeface="+mn-cs"/>
            </a:rPr>
            <a:t>Does Not Exceed National Medicaid Mean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Getting Needed Care - Child</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Exceeds National Medicaid Mean = 1 Point</a:t>
          </a:r>
        </a:p>
        <a:p>
          <a:r>
            <a:rPr lang="en-US" sz="1100">
              <a:solidFill>
                <a:schemeClr val="dk1"/>
              </a:solidFill>
              <a:effectLst/>
              <a:latin typeface="+mn-lt"/>
              <a:ea typeface="+mn-ea"/>
              <a:cs typeface="+mn-cs"/>
            </a:rPr>
            <a:t>Does Not Exceed National Medicaid Mean = 0 Points</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Getting Needed Care Quickly - Adult</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Exceed National Medicaid Mean = 1 Point</a:t>
          </a:r>
        </a:p>
        <a:p>
          <a:r>
            <a:rPr lang="en-US" sz="1100">
              <a:solidFill>
                <a:schemeClr val="dk1"/>
              </a:solidFill>
              <a:effectLst/>
              <a:latin typeface="+mn-lt"/>
              <a:ea typeface="+mn-ea"/>
              <a:cs typeface="+mn-cs"/>
            </a:rPr>
            <a:t>Does Not Exceed National Medicaid Mean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Getting Needed Care Quickly - Child</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Exceeds National Medicaid Mean = 1 Point</a:t>
          </a:r>
        </a:p>
        <a:p>
          <a:r>
            <a:rPr lang="en-US" sz="1100">
              <a:solidFill>
                <a:schemeClr val="dk1"/>
              </a:solidFill>
              <a:effectLst/>
              <a:latin typeface="+mn-lt"/>
              <a:ea typeface="+mn-ea"/>
              <a:cs typeface="+mn-cs"/>
            </a:rPr>
            <a:t>Does Not Exceed National Medicaid Mean = 0 Points</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Information and Customer Service - Adult</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Exceeds National Medicaid Mean = 1 Point</a:t>
          </a:r>
        </a:p>
        <a:p>
          <a:r>
            <a:rPr lang="en-US" sz="1100">
              <a:solidFill>
                <a:schemeClr val="dk1"/>
              </a:solidFill>
              <a:effectLst/>
              <a:latin typeface="+mn-lt"/>
              <a:ea typeface="+mn-ea"/>
              <a:cs typeface="+mn-cs"/>
            </a:rPr>
            <a:t>Does Not Exceed National Medicaid Mean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Information and Customer Service - Child</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Exceeds National Medicaid Mean = 1 Point</a:t>
          </a:r>
        </a:p>
        <a:p>
          <a:r>
            <a:rPr lang="en-US" sz="1100">
              <a:solidFill>
                <a:schemeClr val="dk1"/>
              </a:solidFill>
              <a:effectLst/>
              <a:latin typeface="+mn-lt"/>
              <a:ea typeface="+mn-ea"/>
              <a:cs typeface="+mn-cs"/>
            </a:rPr>
            <a:t>Does Not Exceed National Medicaid Mean = 0 Points</a:t>
          </a:r>
        </a:p>
        <a:p>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HCBS CAHPS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Case Manager</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Exceeds Florida Medicaid Mean = 1 Point</a:t>
          </a:r>
        </a:p>
        <a:p>
          <a:r>
            <a:rPr lang="en-US" sz="1100">
              <a:solidFill>
                <a:schemeClr val="dk1"/>
              </a:solidFill>
              <a:effectLst/>
              <a:latin typeface="+mn-lt"/>
              <a:ea typeface="+mn-ea"/>
              <a:cs typeface="+mn-cs"/>
            </a:rPr>
            <a:t>Does Not Exceed Florida Medicaid Mean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Personal Assistant/Behavioral Health Staff</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Exceeds Florida Medicaid Mean = 1 Point</a:t>
          </a:r>
        </a:p>
        <a:p>
          <a:r>
            <a:rPr lang="en-US" sz="1100">
              <a:solidFill>
                <a:schemeClr val="dk1"/>
              </a:solidFill>
              <a:effectLst/>
              <a:latin typeface="+mn-lt"/>
              <a:ea typeface="+mn-ea"/>
              <a:cs typeface="+mn-cs"/>
            </a:rPr>
            <a:t>Does Not Exceed Florida Medicaid Mean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Service Plan Inclusion</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Exceeds Florida Medicaid Mean = 1 Point</a:t>
          </a:r>
        </a:p>
        <a:p>
          <a:r>
            <a:rPr lang="en-US" sz="1100">
              <a:solidFill>
                <a:schemeClr val="dk1"/>
              </a:solidFill>
              <a:effectLst/>
              <a:latin typeface="+mn-lt"/>
              <a:ea typeface="+mn-ea"/>
              <a:cs typeface="+mn-cs"/>
            </a:rPr>
            <a:t>Does Not Exceed Florida Medicaid Mean = 0 Points</a:t>
          </a:r>
        </a:p>
      </xdr:txBody>
    </xdr:sp>
    <xdr:clientData/>
  </xdr:twoCellAnchor>
  <xdr:twoCellAnchor>
    <xdr:from>
      <xdr:col>14</xdr:col>
      <xdr:colOff>76200</xdr:colOff>
      <xdr:row>2</xdr:row>
      <xdr:rowOff>9526</xdr:rowOff>
    </xdr:from>
    <xdr:to>
      <xdr:col>22</xdr:col>
      <xdr:colOff>523875</xdr:colOff>
      <xdr:row>20</xdr:row>
      <xdr:rowOff>28575</xdr:rowOff>
    </xdr:to>
    <xdr:sp macro="" textlink="">
      <xdr:nvSpPr>
        <xdr:cNvPr id="11" name="TextBox 10">
          <a:extLst>
            <a:ext uri="{FF2B5EF4-FFF2-40B4-BE49-F238E27FC236}">
              <a16:creationId xmlns:a16="http://schemas.microsoft.com/office/drawing/2014/main" id="{00000000-0008-0000-2E00-00000B000000}"/>
            </a:ext>
          </a:extLst>
        </xdr:cNvPr>
        <xdr:cNvSpPr txBox="1"/>
      </xdr:nvSpPr>
      <xdr:spPr>
        <a:xfrm>
          <a:off x="11572875" y="647701"/>
          <a:ext cx="5324475" cy="38004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Weighting will be applied to point totals based on the Contract line of business:</a:t>
          </a:r>
        </a:p>
        <a:p>
          <a:pPr lvl="0"/>
          <a:r>
            <a:rPr lang="en-US" sz="1100">
              <a:solidFill>
                <a:schemeClr val="dk1"/>
              </a:solidFill>
              <a:effectLst/>
              <a:latin typeface="+mn-lt"/>
              <a:ea typeface="+mn-ea"/>
              <a:cs typeface="+mn-cs"/>
            </a:rPr>
            <a:t>• Medicaid contract reported plan rate points will be 100% of the points received based on methodology above.</a:t>
          </a:r>
        </a:p>
        <a:p>
          <a:pPr lvl="0"/>
          <a:r>
            <a:rPr lang="en-US" sz="1100">
              <a:solidFill>
                <a:schemeClr val="dk1"/>
              </a:solidFill>
              <a:effectLst/>
              <a:latin typeface="+mn-lt"/>
              <a:ea typeface="+mn-ea"/>
              <a:cs typeface="+mn-cs"/>
            </a:rPr>
            <a:t>• CHIP contract reported plan rate points will be 90% of the points received based on methodology above.</a:t>
          </a:r>
        </a:p>
        <a:p>
          <a:pPr lvl="0"/>
          <a:r>
            <a:rPr lang="en-US" sz="1100">
              <a:solidFill>
                <a:schemeClr val="dk1"/>
              </a:solidFill>
              <a:effectLst/>
              <a:latin typeface="+mn-lt"/>
              <a:ea typeface="+mn-ea"/>
              <a:cs typeface="+mn-cs"/>
            </a:rPr>
            <a:t>• Medicare contract reported plan rate points will be 80% of the points received based on methodology above.</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The total number of points is the sum of all individual points earned divided by 39 and rounded down to a whole number.</a:t>
          </a:r>
          <a:endParaRPr lang="en-US">
            <a:effectLst/>
          </a:endParaRPr>
        </a:p>
        <a:p>
          <a:r>
            <a:rPr lang="en-US" sz="1100" b="1">
              <a:solidFill>
                <a:schemeClr val="dk1"/>
              </a:solidFill>
              <a:effectLst/>
              <a:latin typeface="+mn-lt"/>
              <a:ea typeface="+mn-ea"/>
              <a:cs typeface="+mn-cs"/>
            </a:rPr>
            <a:t>The total earned points possible is 100. </a:t>
          </a:r>
          <a:endParaRPr lang="en-US">
            <a:effectLst/>
          </a:endParaRPr>
        </a:p>
        <a:p>
          <a:r>
            <a:rPr lang="en-US" sz="1100" b="1">
              <a:solidFill>
                <a:schemeClr val="dk1"/>
              </a:solidFill>
              <a:effectLst/>
              <a:latin typeface="+mn-lt"/>
              <a:ea typeface="+mn-ea"/>
              <a:cs typeface="+mn-cs"/>
            </a:rPr>
            <a:t> </a:t>
          </a:r>
          <a:endParaRPr lang="en-US">
            <a:effectLst/>
          </a:endParaRPr>
        </a:p>
        <a:p>
          <a:r>
            <a:rPr lang="en-US" sz="1100" i="1">
              <a:solidFill>
                <a:schemeClr val="dk1"/>
              </a:solidFill>
              <a:effectLst/>
              <a:latin typeface="+mn-lt"/>
              <a:ea typeface="+mn-ea"/>
              <a:cs typeface="+mn-cs"/>
            </a:rPr>
            <a:t>For example</a:t>
          </a:r>
          <a:r>
            <a:rPr lang="en-US" sz="1100">
              <a:solidFill>
                <a:schemeClr val="dk1"/>
              </a:solidFill>
              <a:effectLst/>
              <a:latin typeface="+mn-lt"/>
              <a:ea typeface="+mn-ea"/>
              <a:cs typeface="+mn-cs"/>
            </a:rPr>
            <a:t>, if a Respondent receives 100% of the available 39 points, the final score will be 100 points (100%).  If a Respondent receives 31 of the 39 points (79.49%), the final score will be 79 points (rounded down from 79.49).  If a Respondent receives 20 of the 39 points (51.28%), the final score will be 51 points (rounded down from 51.28).  If a Respondent receives 6 of the 39 points (15.38%), the final score will be 15 points (rounded down from 15.38).  </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The maximum Final Score Possible is 100.</a:t>
          </a:r>
          <a:endParaRPr lang="en-US">
            <a:effectLst/>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14</xdr:col>
      <xdr:colOff>0</xdr:colOff>
      <xdr:row>11</xdr:row>
      <xdr:rowOff>38099</xdr:rowOff>
    </xdr:from>
    <xdr:to>
      <xdr:col>16</xdr:col>
      <xdr:colOff>47625</xdr:colOff>
      <xdr:row>24</xdr:row>
      <xdr:rowOff>19049</xdr:rowOff>
    </xdr:to>
    <xdr:sp macro="[0]!Rectangle1_Click" textlink="">
      <xdr:nvSpPr>
        <xdr:cNvPr id="4" name="Rectangle 3">
          <a:extLst>
            <a:ext uri="{FF2B5EF4-FFF2-40B4-BE49-F238E27FC236}">
              <a16:creationId xmlns:a16="http://schemas.microsoft.com/office/drawing/2014/main" id="{00000000-0008-0000-2F00-000004000000}"/>
            </a:ext>
          </a:extLst>
        </xdr:cNvPr>
        <xdr:cNvSpPr/>
      </xdr:nvSpPr>
      <xdr:spPr>
        <a:xfrm>
          <a:off x="12830175" y="2495549"/>
          <a:ext cx="1266825" cy="30575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9525</xdr:colOff>
      <xdr:row>12</xdr:row>
      <xdr:rowOff>142875</xdr:rowOff>
    </xdr:from>
    <xdr:to>
      <xdr:col>11</xdr:col>
      <xdr:colOff>466725</xdr:colOff>
      <xdr:row>26</xdr:row>
      <xdr:rowOff>133350</xdr:rowOff>
    </xdr:to>
    <xdr:sp macro="[0]!Rectangle1_Click" textlink="">
      <xdr:nvSpPr>
        <xdr:cNvPr id="6" name="Rectangle 4">
          <a:extLst>
            <a:ext uri="{FF2B5EF4-FFF2-40B4-BE49-F238E27FC236}">
              <a16:creationId xmlns:a16="http://schemas.microsoft.com/office/drawing/2014/main" id="{00000000-0008-0000-2F00-000006000000}"/>
            </a:ext>
          </a:extLst>
        </xdr:cNvPr>
        <xdr:cNvSpPr/>
      </xdr:nvSpPr>
      <xdr:spPr>
        <a:xfrm>
          <a:off x="11763375" y="2800350"/>
          <a:ext cx="2286000" cy="34480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95249</xdr:colOff>
      <xdr:row>4</xdr:row>
      <xdr:rowOff>190499</xdr:rowOff>
    </xdr:from>
    <xdr:to>
      <xdr:col>7</xdr:col>
      <xdr:colOff>1609725</xdr:colOff>
      <xdr:row>29</xdr:row>
      <xdr:rowOff>171450</xdr:rowOff>
    </xdr:to>
    <xdr:sp macro="" textlink="">
      <xdr:nvSpPr>
        <xdr:cNvPr id="5" name="TextBox 1">
          <a:extLst>
            <a:ext uri="{FF2B5EF4-FFF2-40B4-BE49-F238E27FC236}">
              <a16:creationId xmlns:a16="http://schemas.microsoft.com/office/drawing/2014/main" id="{00000000-0008-0000-3000-000005000000}"/>
            </a:ext>
          </a:extLst>
        </xdr:cNvPr>
        <xdr:cNvSpPr txBox="1"/>
      </xdr:nvSpPr>
      <xdr:spPr>
        <a:xfrm>
          <a:off x="95249" y="1162049"/>
          <a:ext cx="5781676" cy="4743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Scoring will be designated based upon the following criteria:</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Years of experience at senior manager level or above at managed care organizations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5.0 or more = 5 Points</a:t>
          </a:r>
        </a:p>
        <a:p>
          <a:r>
            <a:rPr lang="en-US" sz="1100">
              <a:solidFill>
                <a:schemeClr val="dk1"/>
              </a:solidFill>
              <a:effectLst/>
              <a:latin typeface="+mn-lt"/>
              <a:ea typeface="+mn-ea"/>
              <a:cs typeface="+mn-cs"/>
            </a:rPr>
            <a:t>3.0-4.99 = 3 Points </a:t>
          </a:r>
        </a:p>
        <a:p>
          <a:r>
            <a:rPr lang="en-US" sz="1100">
              <a:solidFill>
                <a:schemeClr val="dk1"/>
              </a:solidFill>
              <a:effectLst/>
              <a:latin typeface="+mn-lt"/>
              <a:ea typeface="+mn-ea"/>
              <a:cs typeface="+mn-cs"/>
            </a:rPr>
            <a:t>1.0-2.99 = 1 Point </a:t>
          </a:r>
        </a:p>
        <a:p>
          <a:r>
            <a:rPr lang="en-US" sz="1100">
              <a:solidFill>
                <a:schemeClr val="dk1"/>
              </a:solidFill>
              <a:effectLst/>
              <a:latin typeface="+mn-lt"/>
              <a:ea typeface="+mn-ea"/>
              <a:cs typeface="+mn-cs"/>
            </a:rPr>
            <a:t>Less than 1.0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Years of Employment with Respondent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5.0 or more = 5 Points</a:t>
          </a:r>
        </a:p>
        <a:p>
          <a:r>
            <a:rPr lang="en-US" sz="1100">
              <a:solidFill>
                <a:schemeClr val="dk1"/>
              </a:solidFill>
              <a:effectLst/>
              <a:latin typeface="+mn-lt"/>
              <a:ea typeface="+mn-ea"/>
              <a:cs typeface="+mn-cs"/>
            </a:rPr>
            <a:t>3.0-4.99 = 3 Points </a:t>
          </a:r>
        </a:p>
        <a:p>
          <a:r>
            <a:rPr lang="en-US" sz="1100">
              <a:solidFill>
                <a:schemeClr val="dk1"/>
              </a:solidFill>
              <a:effectLst/>
              <a:latin typeface="+mn-lt"/>
              <a:ea typeface="+mn-ea"/>
              <a:cs typeface="+mn-cs"/>
            </a:rPr>
            <a:t>1.0-2.99 = 1 Point </a:t>
          </a:r>
        </a:p>
        <a:p>
          <a:r>
            <a:rPr lang="en-US" sz="1100">
              <a:solidFill>
                <a:schemeClr val="dk1"/>
              </a:solidFill>
              <a:effectLst/>
              <a:latin typeface="+mn-lt"/>
              <a:ea typeface="+mn-ea"/>
              <a:cs typeface="+mn-cs"/>
            </a:rPr>
            <a:t>Less than 1.0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Total years of experience serving elderly and persons with disabilities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5.0 or more = 5 Points</a:t>
          </a:r>
        </a:p>
        <a:p>
          <a:r>
            <a:rPr lang="en-US" sz="1100">
              <a:solidFill>
                <a:schemeClr val="dk1"/>
              </a:solidFill>
              <a:effectLst/>
              <a:latin typeface="+mn-lt"/>
              <a:ea typeface="+mn-ea"/>
              <a:cs typeface="+mn-cs"/>
            </a:rPr>
            <a:t>3.0-4.99 = 3 Points </a:t>
          </a:r>
        </a:p>
        <a:p>
          <a:r>
            <a:rPr lang="en-US" sz="1100">
              <a:solidFill>
                <a:schemeClr val="dk1"/>
              </a:solidFill>
              <a:effectLst/>
              <a:latin typeface="+mn-lt"/>
              <a:ea typeface="+mn-ea"/>
              <a:cs typeface="+mn-cs"/>
            </a:rPr>
            <a:t>1.0-2.99 = 1 Point </a:t>
          </a:r>
        </a:p>
        <a:p>
          <a:r>
            <a:rPr lang="en-US" sz="1100">
              <a:solidFill>
                <a:schemeClr val="dk1"/>
              </a:solidFill>
              <a:effectLst/>
              <a:latin typeface="+mn-lt"/>
              <a:ea typeface="+mn-ea"/>
              <a:cs typeface="+mn-cs"/>
            </a:rPr>
            <a:t>Less than 1.0 = 0 Points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The total number of points is the sum of all individual points earned.</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 total earned points possible is 15.</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 maximum Final Score Possible is 75.</a:t>
          </a:r>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The Final Score is calculated by multiplying the percentage of total points earned out of total points possible by the maximum Final Score Possible.</a:t>
          </a:r>
          <a:endParaRPr lang="en-US" sz="1100">
            <a:solidFill>
              <a:schemeClr val="dk1"/>
            </a:solidFill>
            <a:effectLst/>
            <a:latin typeface="+mn-lt"/>
            <a:ea typeface="+mn-ea"/>
            <a:cs typeface="+mn-cs"/>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3</xdr:col>
      <xdr:colOff>85725</xdr:colOff>
      <xdr:row>1</xdr:row>
      <xdr:rowOff>161925</xdr:rowOff>
    </xdr:from>
    <xdr:to>
      <xdr:col>7</xdr:col>
      <xdr:colOff>676275</xdr:colOff>
      <xdr:row>6</xdr:row>
      <xdr:rowOff>161925</xdr:rowOff>
    </xdr:to>
    <xdr:sp macro="[0]!Rectangle1_Click" textlink="">
      <xdr:nvSpPr>
        <xdr:cNvPr id="37" name="Rectangle 2">
          <a:extLst>
            <a:ext uri="{FF2B5EF4-FFF2-40B4-BE49-F238E27FC236}">
              <a16:creationId xmlns:a16="http://schemas.microsoft.com/office/drawing/2014/main" id="{00000000-0008-0000-3100-000025000000}"/>
            </a:ext>
          </a:extLst>
        </xdr:cNvPr>
        <xdr:cNvSpPr/>
      </xdr:nvSpPr>
      <xdr:spPr>
        <a:xfrm>
          <a:off x="8324850" y="457200"/>
          <a:ext cx="8115300" cy="11239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9525</xdr:colOff>
          <xdr:row>0</xdr:row>
          <xdr:rowOff>19050</xdr:rowOff>
        </xdr:from>
        <xdr:to>
          <xdr:col>14</xdr:col>
          <xdr:colOff>9525</xdr:colOff>
          <xdr:row>2</xdr:row>
          <xdr:rowOff>28575</xdr:rowOff>
        </xdr:to>
        <xdr:sp macro="" textlink="">
          <xdr:nvSpPr>
            <xdr:cNvPr id="65537" name="Button 1" hidden="1">
              <a:extLst>
                <a:ext uri="{63B3BB69-23CF-44E3-9099-C40C66FF867C}">
                  <a14:compatExt spid="_x0000_s65537"/>
                </a:ext>
                <a:ext uri="{FF2B5EF4-FFF2-40B4-BE49-F238E27FC236}">
                  <a16:creationId xmlns:a16="http://schemas.microsoft.com/office/drawing/2014/main" id="{00000000-0008-0000-3300-0000010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Back to Vendor Information</a:t>
              </a:r>
            </a:p>
          </xdr:txBody>
        </xdr:sp>
        <xdr:clientData fPrintsWithSheet="0"/>
      </xdr:twoCellAnchor>
    </mc:Choice>
    <mc:Fallback/>
  </mc:AlternateContent>
  <xdr:twoCellAnchor>
    <xdr:from>
      <xdr:col>1</xdr:col>
      <xdr:colOff>0</xdr:colOff>
      <xdr:row>3</xdr:row>
      <xdr:rowOff>19050</xdr:rowOff>
    </xdr:from>
    <xdr:to>
      <xdr:col>14</xdr:col>
      <xdr:colOff>0</xdr:colOff>
      <xdr:row>29</xdr:row>
      <xdr:rowOff>171450</xdr:rowOff>
    </xdr:to>
    <xdr:sp macro="" textlink="">
      <xdr:nvSpPr>
        <xdr:cNvPr id="2" name="TextBox 1">
          <a:extLst>
            <a:ext uri="{FF2B5EF4-FFF2-40B4-BE49-F238E27FC236}">
              <a16:creationId xmlns:a16="http://schemas.microsoft.com/office/drawing/2014/main" id="{00000000-0008-0000-3300-000002000000}"/>
            </a:ext>
          </a:extLst>
        </xdr:cNvPr>
        <xdr:cNvSpPr txBox="1"/>
      </xdr:nvSpPr>
      <xdr:spPr>
        <a:xfrm>
          <a:off x="609600" y="590550"/>
          <a:ext cx="7924800" cy="510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SRC narrative</a:t>
          </a:r>
          <a:r>
            <a:rPr lang="en-US" sz="1100" baseline="0"/>
            <a:t> instructions here.</a:t>
          </a:r>
          <a:endParaRPr lang="en-US" sz="1100"/>
        </a:p>
      </xdr:txBody>
    </xdr:sp>
    <xdr:clientData/>
  </xdr:twoCellAnchor>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xdr:colOff>
          <xdr:row>0</xdr:row>
          <xdr:rowOff>9525</xdr:rowOff>
        </xdr:from>
        <xdr:to>
          <xdr:col>4</xdr:col>
          <xdr:colOff>0</xdr:colOff>
          <xdr:row>0</xdr:row>
          <xdr:rowOff>352425</xdr:rowOff>
        </xdr:to>
        <xdr:sp macro="" textlink="">
          <xdr:nvSpPr>
            <xdr:cNvPr id="64513" name="Button 1" hidden="1">
              <a:extLst>
                <a:ext uri="{63B3BB69-23CF-44E3-9099-C40C66FF867C}">
                  <a14:compatExt spid="_x0000_s64513"/>
                </a:ext>
                <a:ext uri="{FF2B5EF4-FFF2-40B4-BE49-F238E27FC236}">
                  <a16:creationId xmlns:a16="http://schemas.microsoft.com/office/drawing/2014/main" id="{00000000-0008-0000-3400-000001F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Back to Vendor Information</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flahca.sharepoint.com/sites/Knowli/Shared%20Documents/Procurement%20Intake%2023-28/TestforSRC_v16.1.xlsm" TargetMode="External"/><Relationship Id="rId1" Type="http://schemas.openxmlformats.org/officeDocument/2006/relationships/externalLinkPath" Target="https://flahca.sharepoint.com/sites/Knowli/Shared%20Documents/Procurement%20Intake%2023-28/TestforSRC_v16.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 Instructions"/>
      <sheetName val="Plan Selection1"/>
      <sheetName val="Respondent Information"/>
      <sheetName val="Scoring-Value Based Purchasing"/>
      <sheetName val="Value Based Purchasing"/>
      <sheetName val="Scoring-Expanded Benefits"/>
      <sheetName val="Expanded Benefits"/>
      <sheetName val="Scoring-Birth Outcomes"/>
      <sheetName val="Birth Outcomes"/>
      <sheetName val="Scoring-Chr Disease Management"/>
      <sheetName val="Chr Disease Management"/>
      <sheetName val="Scoring-HEDIS"/>
      <sheetName val="HEDIS"/>
      <sheetName val="Scoring-Commitment to Quality"/>
      <sheetName val="Commitment to Quality"/>
      <sheetName val="Scoring-PersonCentered Care"/>
      <sheetName val="Person-Centered Care"/>
      <sheetName val="Scoring-Behav Health-Prim Care"/>
      <sheetName val="Behav Health-Prim Care Integ"/>
      <sheetName val="Scoring-Telemedicine"/>
      <sheetName val="Telemedicine"/>
      <sheetName val="Scoring-EBP Child Intense Behav"/>
      <sheetName val="EBP Child Intense Behav"/>
      <sheetName val="Scoring-Essential Providers"/>
      <sheetName val="Essential Providers"/>
      <sheetName val="Scoring-Community Partnerships"/>
      <sheetName val="Scoring-Exp. Benefits-Pathways"/>
      <sheetName val="Exp. Benefits-Pathways"/>
      <sheetName val="Scoring-Managed Care Exp"/>
      <sheetName val="Managed Care Experience"/>
      <sheetName val="Scoring-Compliance"/>
      <sheetName val="Compliance"/>
      <sheetName val="Compliance-Terminations"/>
      <sheetName val="Scoring-Florida Presence"/>
      <sheetName val="Florida Presence"/>
      <sheetName val="Scoring-Accreditation"/>
      <sheetName val="Accreditation"/>
      <sheetName val="Scoring-Grievances"/>
      <sheetName val="Grievances"/>
      <sheetName val="Scoring-Processing and Payment"/>
      <sheetName val="Processing and Payment"/>
      <sheetName val="Scoring-Provider Engagement"/>
      <sheetName val="Provider Engagement"/>
      <sheetName val="Scoring-NET"/>
      <sheetName val="Non-Emergency Transportation"/>
      <sheetName val="Scoring-CAHPS"/>
      <sheetName val="CAHPS"/>
      <sheetName val="Scoring-Mgmt Exp &amp; Retention "/>
      <sheetName val="Mgmt Exp &amp; Retention"/>
      <sheetName val="subcontractors dropdown"/>
      <sheetName val="Instruct-Template"/>
      <sheetName val="SRC 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ow r="2">
          <cell r="A2" t="str">
            <v>Coverage of Services</v>
          </cell>
        </row>
        <row r="3">
          <cell r="A3" t="str">
            <v>Grievance and Appeal System</v>
          </cell>
        </row>
        <row r="4">
          <cell r="A4" t="str">
            <v>Provider Services</v>
          </cell>
        </row>
        <row r="5">
          <cell r="A5" t="str">
            <v>Quality</v>
          </cell>
        </row>
        <row r="6">
          <cell r="A6" t="str">
            <v>Administration and Management Services</v>
          </cell>
        </row>
      </sheetData>
      <sheetData sheetId="50" refreshError="1"/>
      <sheetData sheetId="5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A57A5CA-9C11-4EAA-BDD4-DBC2C164BCC8}" name="Table467151819" displayName="Table467151819" ref="A3:B8" totalsRowShown="0" tableBorderDxfId="75" headerRowCellStyle="Score Box Header" dataCellStyle="Score Box Red">
  <autoFilter ref="A3:B8" xr:uid="{4A57A5CA-9C11-4EAA-BDD4-DBC2C164BCC8}"/>
  <tableColumns count="2">
    <tableColumn id="1" xr3:uid="{B82D1E3B-1210-4373-B8C3-B058F1C31D1E}" name="Item" dataDxfId="74" dataCellStyle="Score Box Red"/>
    <tableColumn id="2" xr3:uid="{F47B45AE-9C6D-41AF-962A-71CB96059218}" name="Score" dataDxfId="73" dataCellStyle="Score Box Red">
      <calculatedColumnFormula>X457</calculatedColumnFormula>
    </tableColum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679CBFA-9B9B-456A-A375-2FF88BB8FAA0}" name="Table49" displayName="Table49" ref="A3:B8" totalsRowShown="0" tableBorderDxfId="72" headerRowCellStyle="Score Box Header" dataCellStyle="Score Box Red">
  <autoFilter ref="A3:B8" xr:uid="{E90EA4C9-0D5B-43F4-A970-EBAD916A39F2}"/>
  <tableColumns count="2">
    <tableColumn id="1" xr3:uid="{EFD61543-96C2-4C3E-BC36-F67AF72B20F3}" name="Item" dataDxfId="71" dataCellStyle="Score Box Red"/>
    <tableColumn id="2" xr3:uid="{F4FFACDF-0F8E-4DCE-A42C-51DE6E2368F7}" name="Score" dataDxfId="70" dataCellStyle="Score Box Red"/>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C429855-8263-4FF5-976A-AD0F77302CB6}" name="Table4911" displayName="Table4911" ref="A3:B8" totalsRowShown="0" tableBorderDxfId="69" headerRowCellStyle="Score Box Header" dataCellStyle="Score Box Red">
  <autoFilter ref="A3:B8" xr:uid="{6C429855-8263-4FF5-976A-AD0F77302CB6}"/>
  <tableColumns count="2">
    <tableColumn id="1" xr3:uid="{9A4DD179-2A6D-4091-B384-29E6DAB45624}" name="Item" dataDxfId="68" dataCellStyle="Score Box Red"/>
    <tableColumn id="2" xr3:uid="{ED9FB893-EC65-485E-83C3-B1A95E2F5B8B}" name="Score" dataDxfId="67" dataCellStyle="Score Box Red"/>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DDC09ED-12B2-4A67-8693-56F79443F6E4}" name="Table410" displayName="Table410" ref="A3:B8" totalsRowShown="0" tableBorderDxfId="66" headerRowCellStyle="Score Box Header" dataCellStyle="Score Box Red">
  <autoFilter ref="A3:B8" xr:uid="{E90EA4C9-0D5B-43F4-A970-EBAD916A39F2}"/>
  <tableColumns count="2">
    <tableColumn id="1" xr3:uid="{BA908691-769F-42EF-9933-50BE2823D21B}" name="Item" dataDxfId="65" dataCellStyle="Score Box Red"/>
    <tableColumn id="2" xr3:uid="{A234DC55-0258-4757-AFC5-0D8187665D4B}" name="Score" dataDxfId="64" dataCellStyle="Score Box Red">
      <calculatedColumnFormula>32*3</calculatedColumnFormula>
    </tableColumn>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2957F55-091F-46F4-AE14-8EB9DC227D29}" name="Table4671518" displayName="Table4671518" ref="A3:B8" totalsRowShown="0" tableBorderDxfId="63" headerRowCellStyle="Score Box Header">
  <autoFilter ref="A3:B8" xr:uid="{D2957F55-091F-46F4-AE14-8EB9DC227D29}"/>
  <tableColumns count="2">
    <tableColumn id="1" xr3:uid="{A65FBFCC-EF86-495E-A115-E0FBFF5B1035}" name="Item" dataDxfId="62" dataCellStyle="Score Box Red"/>
    <tableColumn id="2" xr3:uid="{44663F72-4A82-404C-ABD3-AB23C82F8B9B}" name="Score" dataDxfId="61" dataCellStyle="Score Box Red">
      <calculatedColumnFormula>U108</calculatedColumnFormula>
    </tableColumn>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8D27B6B-221B-4016-BEC8-FB5ADFF497D1}" name="Table43" displayName="Table43" ref="A3:B8" totalsRowShown="0" tableBorderDxfId="60" headerRowCellStyle="Score Box Header" dataCellStyle="Score Box Red">
  <autoFilter ref="A3:B8" xr:uid="{E90EA4C9-0D5B-43F4-A970-EBAD916A39F2}"/>
  <tableColumns count="2">
    <tableColumn id="1" xr3:uid="{51AF89A8-1041-4F92-8A5B-EB689FA00D19}" name="Item" dataDxfId="59" dataCellStyle="Score Box Red"/>
    <tableColumn id="2" xr3:uid="{3300D190-726B-4743-9881-8245F3077AB4}" name="Score" dataDxfId="58" dataCellStyle="Score Box Red">
      <calculatedColumnFormula>D35</calculatedColumnFormula>
    </tableColumn>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6BF6FAE-C346-4FFF-A870-7E765C63D841}" name="Table46" displayName="Table46" ref="A3:B8" totalsRowShown="0" tableBorderDxfId="57" headerRowCellStyle="Score Box Header" dataCellStyle="Score Box Red">
  <autoFilter ref="A3:B8" xr:uid="{E90EA4C9-0D5B-43F4-A970-EBAD916A39F2}"/>
  <tableColumns count="2">
    <tableColumn id="1" xr3:uid="{ADBA86FE-8BF4-40E8-8C42-881E9E840887}" name="Item" dataDxfId="56" dataCellStyle="Score Box Red"/>
    <tableColumn id="2" xr3:uid="{6A80CEF2-F1B4-41FD-BF86-9E187F9F11BC}" name="Score" dataDxfId="55" dataCellStyle="Score Box Red">
      <calculatedColumnFormula>D97</calculatedColumnFormula>
    </tableColumn>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3F07A43-433E-4851-A7F4-D500CC7EA969}" name="Table416" displayName="Table416" ref="A3:B8" totalsRowShown="0" headerRowDxfId="54" headerRowBorderDxfId="53" tableBorderDxfId="52" headerRowCellStyle="Score Box Header">
  <autoFilter ref="A3:B8" xr:uid="{E90EA4C9-0D5B-43F4-A970-EBAD916A39F2}"/>
  <tableColumns count="2">
    <tableColumn id="1" xr3:uid="{D7FE0C37-BA8E-40B8-9AA6-1F438B99AB41}" name="Item" dataDxfId="51" dataCellStyle="Score Box Red"/>
    <tableColumn id="2" xr3:uid="{4B4A6E31-B13E-4E2D-8241-5DCB7CA982E5}" name="Score" dataDxfId="50" dataCellStyle="Score Box Red">
      <calculatedColumnFormula>D143</calculatedColumnFormula>
    </tableColumn>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43A3E3B-5F09-4BA6-83AB-71DE488712B6}" name="Table44" displayName="Table44" ref="A3:B8" totalsRowShown="0" tableBorderDxfId="49" headerRowCellStyle="Score Box Header" dataCellStyle="Score Box Red">
  <autoFilter ref="A3:B8" xr:uid="{E90EA4C9-0D5B-43F4-A970-EBAD916A39F2}"/>
  <tableColumns count="2">
    <tableColumn id="1" xr3:uid="{5B290C06-08A0-491F-8143-0E2DBF894C57}" name="Item" dataDxfId="48" dataCellStyle="Score Box Red"/>
    <tableColumn id="2" xr3:uid="{D9DE1412-0F72-4D5E-B6BF-F9D29F3E8DDA}" name="Score" dataDxfId="47" dataCellStyle="Score Box Red">
      <calculatedColumnFormula>D82</calculatedColumnFormula>
    </tableColumn>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F073137-5879-4B7C-8B5E-0C621613AB44}" name="Table491713" displayName="Table491713" ref="A3:B8" totalsRowShown="0" tableBorderDxfId="46" headerRowCellStyle="Score Box Header" dataCellStyle="Score Box Red">
  <autoFilter ref="A3:B8" xr:uid="{109C145D-E6E4-4ED8-9BB7-D25137A7268A}"/>
  <tableColumns count="2">
    <tableColumn id="1" xr3:uid="{9BE7B3E9-7AB6-4BDD-8E62-881F01AF49BA}" name="Item" dataDxfId="45" dataCellStyle="Score Box Red"/>
    <tableColumn id="2" xr3:uid="{EBEB1486-844E-4181-991E-E3687639FF81}" name="Score" dataDxfId="44" dataCellStyle="Score Box Red"/>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8C8163C-3E0C-4485-BEDA-43A24B99E80A}" name="Table4671518192021" displayName="Table4671518192021" ref="A3:B8" totalsRowShown="0" tableBorderDxfId="43" headerRowCellStyle="Score Box Header" dataCellStyle="Score Box Red">
  <autoFilter ref="A3:B8" xr:uid="{18C8163C-3E0C-4485-BEDA-43A24B99E80A}"/>
  <tableColumns count="2">
    <tableColumn id="1" xr3:uid="{65C69561-37A5-4DA7-8BC0-626A878D1FA5}" name="Item" dataDxfId="42" dataCellStyle="Score Box Red"/>
    <tableColumn id="2" xr3:uid="{9EDD28B3-F1C8-4EB2-84AE-C8DE095A1F40}" name="Score" dataCellStyle="Score Box Red">
      <calculatedColumnFormula>S137</calculatedColumnFormula>
    </tableColumn>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09C145D-E6E4-4ED8-9BB7-D25137A7268A}" name="Table4917" displayName="Table4917" ref="A3:B8" totalsRowShown="0" headerRowDxfId="41" dataDxfId="40" tableBorderDxfId="39" headerRowCellStyle="Score Box Header" dataCellStyle="Score Box Red">
  <autoFilter ref="A3:B8" xr:uid="{109C145D-E6E4-4ED8-9BB7-D25137A7268A}"/>
  <tableColumns count="2">
    <tableColumn id="1" xr3:uid="{0889A6B9-F4BC-4A43-ACCF-64C571A2D57B}" name="Item" dataDxfId="38" dataCellStyle="Score Box Red"/>
    <tableColumn id="2" xr3:uid="{3B78D930-933D-4362-BFCD-5F307A44A83D}" name="Score" dataDxfId="37" dataCellStyle="Score Box Red"/>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E5EE5302-EFEA-4034-BD79-A614B4FC8FD1}" name="Table46715181920" displayName="Table46715181920" ref="A3:B8" totalsRowShown="0" tableBorderDxfId="36" headerRowCellStyle="Score Box Header" dataCellStyle="Score Box Red">
  <autoFilter ref="A3:B8" xr:uid="{E5EE5302-EFEA-4034-BD79-A614B4FC8FD1}"/>
  <tableColumns count="2">
    <tableColumn id="1" xr3:uid="{E5A0E181-45E4-45BB-ADFF-216926569A37}" name="Item" dataDxfId="35" dataCellStyle="Score Box Red"/>
    <tableColumn id="2" xr3:uid="{2FF9E3D3-14D4-4B6E-B7BD-78CA0D8C7A8E}" name="Score" dataDxfId="34" dataCellStyle="Score Box Red">
      <calculatedColumnFormula>U109</calculatedColumnFormula>
    </tableColumn>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764778D-2716-4E7B-B78D-50F525E83401}" name="Table491112" displayName="Table491112" ref="A3:B8" totalsRowShown="0" tableBorderDxfId="33" headerRowCellStyle="Score Box Header" dataCellStyle="Score Box Red">
  <autoFilter ref="A3:B8" xr:uid="{1764778D-2716-4E7B-B78D-50F525E83401}"/>
  <tableColumns count="2">
    <tableColumn id="1" xr3:uid="{B8C1818A-62D7-4145-B67D-AB14736C39D3}" name="Item" dataDxfId="32" dataCellStyle="Score Box Red"/>
    <tableColumn id="2" xr3:uid="{37B36857-0385-4532-95EE-7AE055AB9AAD}" name="Score" dataDxfId="31" dataCellStyle="Score Box Red"/>
  </tableColumns>
  <tableStyleInfo name="TableStyleLight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107A514-1276-4F0D-812D-AFEC080E0980}" name="Table467" displayName="Table467" ref="A3:B8" totalsRowShown="0" tableBorderDxfId="30" headerRowCellStyle="Score Box Header" dataCellStyle="Score Box Red">
  <autoFilter ref="A3:B8" xr:uid="{5107A514-1276-4F0D-812D-AFEC080E0980}"/>
  <tableColumns count="2">
    <tableColumn id="1" xr3:uid="{ABE4479C-3764-41CC-9377-C5AB9ED9BFB1}" name="Item" dataDxfId="29" dataCellStyle="Score Box Red"/>
    <tableColumn id="2" xr3:uid="{757646FB-29E5-462C-A735-9996043DFF56}" name="Score" dataDxfId="28" dataCellStyle="Score Box Red">
      <calculatedColumnFormula>#REF!</calculatedColumnFormula>
    </tableColumn>
  </tableColumns>
  <tableStyleInfo name="TableStyleLight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4DF95A7A-45BD-400C-BE35-DD1EC56DB632}" name="Table417" displayName="Table417" ref="A3:B8" totalsRowShown="0" tableBorderDxfId="27" headerRowCellStyle="Score Box Header" dataCellStyle="Score Box Red">
  <autoFilter ref="A3:B8" xr:uid="{E90EA4C9-0D5B-43F4-A970-EBAD916A39F2}"/>
  <tableColumns count="2">
    <tableColumn id="1" xr3:uid="{DE60E89A-1B61-433D-BFD4-80B142162805}" name="Item" dataDxfId="26" dataCellStyle="Score Box Red"/>
    <tableColumn id="2" xr3:uid="{1B3E29A4-123C-4F7A-BD41-732DD4C22A6F}" name="Score" dataDxfId="25" dataCellStyle="Score Box Red">
      <calculatedColumnFormula>#REF!</calculatedColumnFormula>
    </tableColumn>
  </tableColumns>
  <tableStyleInfo name="TableStyleLight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2F71FFB-C71F-4F6E-8164-FDAE63E9B3D4}" name="Table1" displayName="Table1" ref="A46:E55" totalsRowShown="0" headerRowDxfId="24" totalsRowDxfId="22" tableBorderDxfId="23" totalsRowBorderDxfId="21">
  <autoFilter ref="A46:E55" xr:uid="{62F71FFB-C71F-4F6E-8164-FDAE63E9B3D4}"/>
  <tableColumns count="5">
    <tableColumn id="1" xr3:uid="{B0ABAC9B-333C-45D7-8D79-C3B33F985CF9}" name="Item" dataDxfId="20" totalsRowDxfId="19"/>
    <tableColumn id="3" xr3:uid="{30CB0F13-377A-42C0-835E-1005EC00F607}" name="Points Available" dataDxfId="18" totalsRowDxfId="17"/>
    <tableColumn id="4" xr3:uid="{D2BE7C0A-E3E4-4C1C-BAB2-8A87A597C6FE}" name="Points Earned-Year 1" dataDxfId="16" totalsRowDxfId="15"/>
    <tableColumn id="2" xr3:uid="{0AFD8FAF-4571-4474-9BB9-A212E2C0DEB1}" name="Points Earned-Year 2" totalsRowDxfId="14"/>
    <tableColumn id="5" xr3:uid="{FEAA6932-9431-4E22-94A1-B69E19DB3137}" name="Points Earned-Year 3" totalsRowDxfId="13"/>
  </tableColumns>
  <tableStyleInfo name="TableStyleDark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9C236D2-C3CD-4392-9C71-29F8E685B4D2}" name="Table714" displayName="Table714" ref="A3:B8" totalsRowShown="0" headerRowDxfId="12" dataDxfId="11" headerRowCellStyle="Score Box Header" dataCellStyle="Score Box Red">
  <autoFilter ref="A3:B8" xr:uid="{09C236D2-C3CD-4392-9C71-29F8E685B4D2}"/>
  <tableColumns count="2">
    <tableColumn id="1" xr3:uid="{7125AD13-2E18-439F-8A11-D6103939CB1A}" name="Possible and Earned" dataDxfId="10" dataCellStyle="Score Box Red"/>
    <tableColumn id="2" xr3:uid="{EFBC8304-F508-461F-8A84-8A2680BB4403}" name="Score" dataDxfId="9" dataCellStyle="Score Box Red">
      <calculatedColumnFormula>D82</calculatedColumnFormula>
    </tableColumn>
  </tableColumns>
  <tableStyleInfo name="TableStyleLight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FB50B4E-FF50-4C15-B0CA-88C66B20CDD8}" name="Table46715" displayName="Table46715" ref="A3:B8" totalsRowShown="0" tableBorderDxfId="8" headerRowCellStyle="Score Box Header" dataCellStyle="Score Box Red">
  <autoFilter ref="A3:B8" xr:uid="{AFB50B4E-FF50-4C15-B0CA-88C66B20CDD8}"/>
  <tableColumns count="2">
    <tableColumn id="1" xr3:uid="{FF4ACC3E-2C6C-4FDB-BFD9-8E1F52BFF555}" name="Item" dataDxfId="7" dataCellStyle="Score Box Red"/>
    <tableColumn id="2" xr3:uid="{586AD134-7E29-4A41-9580-25B970D9487E}" name="Score" dataDxfId="6" dataCellStyle="Score Box Red">
      <calculatedColumnFormula>F119</calculatedColumnFormula>
    </tableColumn>
  </tableColumns>
  <tableStyleInfo name="TableStyleLight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3A29D19D-ADF0-47A9-9143-1FC90D15BDD4}" name="Table423" displayName="Table423" ref="A3:B8" totalsRowShown="0" tableBorderDxfId="5" headerRowCellStyle="Score Box Header">
  <autoFilter ref="A3:B8" xr:uid="{E90EA4C9-0D5B-43F4-A970-EBAD916A39F2}"/>
  <tableColumns count="2">
    <tableColumn id="1" xr3:uid="{4AD707A6-C8F0-4775-8478-E8710F5EEBE8}" name="Item" dataDxfId="4" dataCellStyle="Score Box Red"/>
    <tableColumn id="2" xr3:uid="{6683A9D0-9E5D-4CA0-98BB-A8FDB8707D7D}" name="Score" dataDxfId="3" dataCellStyle="Score Box Red">
      <calculatedColumnFormula>#REF!</calculatedColumnFormula>
    </tableColumn>
  </tableColumns>
  <tableStyleInfo name="TableStyleLight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90EA4C9-0D5B-43F4-A970-EBAD916A39F2}" name="Table4" displayName="Table4" ref="A3:B5" totalsRowShown="0" tableBorderDxfId="2" headerRowCellStyle="Score Box Header">
  <autoFilter ref="A3:B5" xr:uid="{E90EA4C9-0D5B-43F4-A970-EBAD916A39F2}"/>
  <tableColumns count="2">
    <tableColumn id="1" xr3:uid="{291EFA5C-6B1D-4EAD-8F19-4576B45635C7}" name="Item" dataDxfId="1" dataCellStyle="Score Box Red"/>
    <tableColumn id="2" xr3:uid="{34A4C1E6-D974-48FB-8CD8-5806E3AC87EA}" name="Score" dataDxfId="0">
      <calculatedColumnFormula>D33</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2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30.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1.xml"/><Relationship Id="rId1" Type="http://schemas.openxmlformats.org/officeDocument/2006/relationships/printerSettings" Target="../printerSettings/printerSettings51.bin"/><Relationship Id="rId4" Type="http://schemas.openxmlformats.org/officeDocument/2006/relationships/ctrlProp" Target="../ctrlProps/ctrlProp15.xml"/></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2.xml"/><Relationship Id="rId1" Type="http://schemas.openxmlformats.org/officeDocument/2006/relationships/printerSettings" Target="../printerSettings/printerSettings52.bin"/><Relationship Id="rId5" Type="http://schemas.openxmlformats.org/officeDocument/2006/relationships/table" Target="../tables/table21.xml"/><Relationship Id="rId4"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06CFB-2D2B-4A7E-8038-3E5E8B3AF9EB}">
  <sheetPr codeName="Sheet3">
    <pageSetUpPr fitToPage="1"/>
  </sheetPr>
  <dimension ref="A1:Z9"/>
  <sheetViews>
    <sheetView zoomScaleNormal="100" workbookViewId="0">
      <selection activeCell="A2" sqref="A2"/>
    </sheetView>
  </sheetViews>
  <sheetFormatPr defaultRowHeight="15" x14ac:dyDescent="0.25"/>
  <cols>
    <col min="1" max="1" width="17" customWidth="1"/>
  </cols>
  <sheetData>
    <row r="1" spans="1:26" ht="15" customHeight="1" x14ac:dyDescent="0.45">
      <c r="A1" s="363"/>
      <c r="C1" s="298"/>
      <c r="D1" s="298"/>
      <c r="E1" s="298"/>
      <c r="F1" s="298"/>
      <c r="G1" s="298"/>
      <c r="H1" s="298"/>
      <c r="I1" s="298"/>
      <c r="J1" s="298"/>
      <c r="R1" s="19"/>
      <c r="S1" s="19"/>
      <c r="T1" s="19"/>
      <c r="U1" s="19"/>
      <c r="V1" s="19"/>
      <c r="W1" s="19"/>
      <c r="X1" s="19"/>
      <c r="Y1" s="19"/>
      <c r="Z1" s="19"/>
    </row>
    <row r="2" spans="1:26" ht="28.5" x14ac:dyDescent="0.45">
      <c r="A2" s="298" t="s">
        <v>0</v>
      </c>
      <c r="B2" s="298"/>
      <c r="C2" s="298"/>
      <c r="D2" s="298"/>
      <c r="E2" s="298"/>
      <c r="F2" s="298"/>
      <c r="G2" s="298"/>
      <c r="H2" s="298"/>
      <c r="I2" s="298"/>
      <c r="J2" s="298"/>
      <c r="K2" s="298"/>
      <c r="L2" s="298"/>
      <c r="R2" s="19"/>
      <c r="S2" s="19"/>
      <c r="T2" s="19"/>
      <c r="U2" s="19"/>
      <c r="V2" s="19"/>
      <c r="W2" s="19"/>
      <c r="X2" s="19"/>
      <c r="Y2" s="19"/>
      <c r="Z2" s="19"/>
    </row>
    <row r="3" spans="1:26" ht="28.5" x14ac:dyDescent="0.45">
      <c r="A3" s="298" t="s">
        <v>1</v>
      </c>
      <c r="B3" s="298"/>
      <c r="C3" s="298"/>
      <c r="D3" s="298"/>
      <c r="E3" s="298"/>
      <c r="F3" s="298"/>
      <c r="G3" s="298"/>
      <c r="H3" s="298"/>
      <c r="I3" s="298"/>
      <c r="J3" s="298"/>
      <c r="K3" s="298"/>
      <c r="L3" s="298"/>
      <c r="R3" s="19"/>
      <c r="S3" s="19"/>
      <c r="T3" s="19"/>
      <c r="U3" s="19"/>
      <c r="V3" s="19"/>
      <c r="W3" s="19"/>
      <c r="X3" s="19"/>
      <c r="Y3" s="19"/>
      <c r="Z3" s="19"/>
    </row>
    <row r="6" spans="1:26" x14ac:dyDescent="0.25">
      <c r="M6" s="71"/>
      <c r="N6" s="71"/>
    </row>
    <row r="8" spans="1:26" x14ac:dyDescent="0.25">
      <c r="N8" s="400"/>
      <c r="O8" s="400"/>
    </row>
    <row r="9" spans="1:26" x14ac:dyDescent="0.25">
      <c r="C9" s="70"/>
    </row>
  </sheetData>
  <sheetProtection algorithmName="SHA-512" hashValue="zfZYZRM8gwbRiQrAPIMv7S6nFPb9MjY01OqYHzcylWNnflvRFfKBf/p5BYJlgKqLRKthESAYI1wXkTdAtNHS2Q==" saltValue="PKBRvnvnGIMqeUa3Rl6IvA==" spinCount="100000" sheet="1" objects="1" scenarios="1"/>
  <pageMargins left="0.7" right="0.7" top="0.75" bottom="0.75" header="0.3" footer="0.3"/>
  <pageSetup scale="90" fitToHeight="0" orientation="portrait" r:id="rId1"/>
  <headerFooter>
    <oddHeader>&amp;C&amp;"Arial,Bold"&amp;14EXHIBIT A-5-a-V3
SUBMISSION REQUIREMENTS AND EVALUATION RESPONSE TEMPLATE</oddHeader>
    <oddFooter>&amp;C&amp;"Arial,Bold"AHCA ITN 010-22/23, Attachment A, Exhibit A-5-a-V3, Page &amp;P of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50894-B3A9-482B-BC5C-3BE654ECE658}">
  <sheetPr codeName="Sheet1"/>
  <dimension ref="A1:W31"/>
  <sheetViews>
    <sheetView workbookViewId="0">
      <selection activeCell="N1" sqref="N1:W6"/>
    </sheetView>
  </sheetViews>
  <sheetFormatPr defaultRowHeight="15" x14ac:dyDescent="0.25"/>
  <cols>
    <col min="8" max="8" width="10.28515625" customWidth="1"/>
    <col min="9" max="9" width="10.5703125" bestFit="1" customWidth="1"/>
    <col min="18" max="18" width="14" customWidth="1"/>
  </cols>
  <sheetData>
    <row r="1" spans="1:23" ht="15" customHeight="1" x14ac:dyDescent="0.35">
      <c r="B1" s="945" t="s">
        <v>2</v>
      </c>
      <c r="C1" s="945"/>
      <c r="D1" s="945"/>
      <c r="E1" s="945"/>
      <c r="F1" s="945"/>
      <c r="G1" s="945"/>
      <c r="H1" s="945"/>
      <c r="I1" s="638"/>
      <c r="N1" s="944" t="s">
        <v>3</v>
      </c>
      <c r="O1" s="944"/>
      <c r="P1" s="944"/>
      <c r="Q1" s="944"/>
      <c r="R1" s="13"/>
    </row>
    <row r="2" spans="1:23" ht="15" customHeight="1" x14ac:dyDescent="0.25">
      <c r="A2" s="638"/>
      <c r="B2" s="945"/>
      <c r="C2" s="945"/>
      <c r="D2" s="945"/>
      <c r="E2" s="945"/>
      <c r="F2" s="945"/>
      <c r="G2" s="945"/>
      <c r="H2" s="945"/>
      <c r="I2" s="638"/>
      <c r="N2" s="944"/>
      <c r="O2" s="944"/>
      <c r="P2" s="944"/>
      <c r="Q2" s="944"/>
      <c r="R2" s="946" t="s">
        <v>4</v>
      </c>
      <c r="S2" s="946"/>
      <c r="T2" s="946"/>
      <c r="U2" s="946"/>
      <c r="V2" s="946"/>
      <c r="W2" s="946"/>
    </row>
    <row r="3" spans="1:23" x14ac:dyDescent="0.25">
      <c r="T3" s="639" t="s">
        <v>5</v>
      </c>
      <c r="U3" s="639"/>
      <c r="V3" s="947" t="s">
        <v>6</v>
      </c>
      <c r="W3" s="947"/>
    </row>
    <row r="4" spans="1:23" ht="15.75" x14ac:dyDescent="0.25">
      <c r="P4" s="7" t="s">
        <v>7</v>
      </c>
      <c r="Q4" s="7"/>
      <c r="R4" s="10" t="s">
        <v>8</v>
      </c>
      <c r="S4" s="10">
        <v>2019</v>
      </c>
      <c r="T4" s="10">
        <v>2020</v>
      </c>
      <c r="U4" s="10">
        <v>2021</v>
      </c>
      <c r="V4" s="943">
        <v>20000000</v>
      </c>
      <c r="W4" s="943"/>
    </row>
    <row r="5" spans="1:23" ht="15.75" x14ac:dyDescent="0.25">
      <c r="P5" s="7" t="s">
        <v>9</v>
      </c>
      <c r="Q5" s="7"/>
      <c r="R5" s="10" t="s">
        <v>10</v>
      </c>
      <c r="S5" s="10">
        <v>2018</v>
      </c>
      <c r="T5" s="10">
        <v>2019</v>
      </c>
      <c r="U5" s="10">
        <v>2020</v>
      </c>
      <c r="V5" s="943">
        <v>13000000</v>
      </c>
      <c r="W5" s="943"/>
    </row>
    <row r="6" spans="1:23" ht="15.75" x14ac:dyDescent="0.25">
      <c r="P6" s="7" t="s">
        <v>11</v>
      </c>
      <c r="Q6" s="7"/>
      <c r="R6" s="10" t="s">
        <v>12</v>
      </c>
      <c r="S6" s="10">
        <v>2019</v>
      </c>
      <c r="T6" s="10">
        <v>2020</v>
      </c>
      <c r="U6" s="10">
        <v>2021</v>
      </c>
      <c r="V6" s="943">
        <v>11000000</v>
      </c>
      <c r="W6" s="943"/>
    </row>
    <row r="8" spans="1:23" s="2" customFormat="1" ht="26.25" x14ac:dyDescent="0.4">
      <c r="B8" s="1" t="s">
        <v>13</v>
      </c>
    </row>
    <row r="9" spans="1:23" s="2" customFormat="1" ht="18.75" customHeight="1" x14ac:dyDescent="0.25"/>
    <row r="10" spans="1:23" s="2" customFormat="1" x14ac:dyDescent="0.25"/>
    <row r="11" spans="1:23" s="2" customFormat="1" x14ac:dyDescent="0.25"/>
    <row r="12" spans="1:23" s="2" customFormat="1" x14ac:dyDescent="0.25"/>
    <row r="13" spans="1:23" s="2" customFormat="1" x14ac:dyDescent="0.25"/>
    <row r="14" spans="1:23" s="4" customFormat="1" ht="26.25" x14ac:dyDescent="0.4">
      <c r="B14" s="3" t="s">
        <v>14</v>
      </c>
    </row>
    <row r="15" spans="1:23" s="4" customFormat="1" x14ac:dyDescent="0.25"/>
    <row r="16" spans="1:23" s="4" customFormat="1" x14ac:dyDescent="0.25"/>
    <row r="17" spans="2:2" s="4" customFormat="1" x14ac:dyDescent="0.25"/>
    <row r="18" spans="2:2" s="4" customFormat="1" x14ac:dyDescent="0.25"/>
    <row r="19" spans="2:2" s="4" customFormat="1" x14ac:dyDescent="0.25"/>
    <row r="20" spans="2:2" s="12" customFormat="1" ht="26.25" x14ac:dyDescent="0.4">
      <c r="B20" s="11" t="s">
        <v>15</v>
      </c>
    </row>
    <row r="21" spans="2:2" s="12" customFormat="1" x14ac:dyDescent="0.25"/>
    <row r="22" spans="2:2" s="12" customFormat="1" x14ac:dyDescent="0.25"/>
    <row r="23" spans="2:2" s="12" customFormat="1" x14ac:dyDescent="0.25"/>
    <row r="24" spans="2:2" s="12" customFormat="1" x14ac:dyDescent="0.25"/>
    <row r="25" spans="2:2" s="12" customFormat="1" x14ac:dyDescent="0.25"/>
    <row r="26" spans="2:2" s="9" customFormat="1" ht="26.25" x14ac:dyDescent="0.4">
      <c r="B26" s="8" t="s">
        <v>16</v>
      </c>
    </row>
    <row r="27" spans="2:2" s="9" customFormat="1" x14ac:dyDescent="0.25"/>
    <row r="28" spans="2:2" s="9" customFormat="1" x14ac:dyDescent="0.25"/>
    <row r="29" spans="2:2" s="9" customFormat="1" x14ac:dyDescent="0.25"/>
    <row r="30" spans="2:2" s="9" customFormat="1" x14ac:dyDescent="0.25"/>
    <row r="31" spans="2:2" s="9" customFormat="1" x14ac:dyDescent="0.25"/>
  </sheetData>
  <mergeCells count="7">
    <mergeCell ref="V6:W6"/>
    <mergeCell ref="N1:Q2"/>
    <mergeCell ref="B1:H2"/>
    <mergeCell ref="R2:W2"/>
    <mergeCell ref="V3:W3"/>
    <mergeCell ref="V4:W4"/>
    <mergeCell ref="V5:W5"/>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Button 3">
              <controlPr defaultSize="0" print="0" autoFill="0" autoPict="0" macro="[0]!Module1.SUN">
                <anchor moveWithCells="1" sizeWithCells="1">
                  <from>
                    <xdr:col>16</xdr:col>
                    <xdr:colOff>609600</xdr:colOff>
                    <xdr:row>8</xdr:row>
                    <xdr:rowOff>0</xdr:rowOff>
                  </from>
                  <to>
                    <xdr:col>20</xdr:col>
                    <xdr:colOff>9525</xdr:colOff>
                    <xdr:row>11</xdr:row>
                    <xdr:rowOff>0</xdr:rowOff>
                  </to>
                </anchor>
              </controlPr>
            </control>
          </mc:Choice>
        </mc:AlternateContent>
        <mc:AlternateContent xmlns:mc="http://schemas.openxmlformats.org/markup-compatibility/2006">
          <mc:Choice Requires="x14">
            <control shapeId="1028" r:id="rId5" name="Button 4">
              <controlPr defaultSize="0" print="0" autoFill="0" autoPict="0" macro="[0]!Aetna">
                <anchor moveWithCells="1" sizeWithCells="1">
                  <from>
                    <xdr:col>1</xdr:col>
                    <xdr:colOff>0</xdr:colOff>
                    <xdr:row>8</xdr:row>
                    <xdr:rowOff>0</xdr:rowOff>
                  </from>
                  <to>
                    <xdr:col>3</xdr:col>
                    <xdr:colOff>600075</xdr:colOff>
                    <xdr:row>10</xdr:row>
                    <xdr:rowOff>180975</xdr:rowOff>
                  </to>
                </anchor>
              </controlPr>
            </control>
          </mc:Choice>
        </mc:AlternateContent>
        <mc:AlternateContent xmlns:mc="http://schemas.openxmlformats.org/markup-compatibility/2006">
          <mc:Choice Requires="x14">
            <control shapeId="1029" r:id="rId6" name="Button 5">
              <controlPr defaultSize="0" print="0" autoFill="0" autoPict="0" macro="[0]!Reset">
                <anchor moveWithCells="1" sizeWithCells="1">
                  <from>
                    <xdr:col>0</xdr:col>
                    <xdr:colOff>600075</xdr:colOff>
                    <xdr:row>3</xdr:row>
                    <xdr:rowOff>9525</xdr:rowOff>
                  </from>
                  <to>
                    <xdr:col>4</xdr:col>
                    <xdr:colOff>0</xdr:colOff>
                    <xdr:row>6</xdr:row>
                    <xdr:rowOff>0</xdr:rowOff>
                  </to>
                </anchor>
              </controlPr>
            </control>
          </mc:Choice>
        </mc:AlternateContent>
        <mc:AlternateContent xmlns:mc="http://schemas.openxmlformats.org/markup-compatibility/2006">
          <mc:Choice Requires="x14">
            <control shapeId="1030" r:id="rId7" name="Button 6">
              <controlPr defaultSize="0" print="0" autoFill="0" autoPict="0" macro="[0]!HUM">
                <anchor moveWithCells="1" sizeWithCells="1">
                  <from>
                    <xdr:col>5</xdr:col>
                    <xdr:colOff>0</xdr:colOff>
                    <xdr:row>8</xdr:row>
                    <xdr:rowOff>0</xdr:rowOff>
                  </from>
                  <to>
                    <xdr:col>7</xdr:col>
                    <xdr:colOff>609600</xdr:colOff>
                    <xdr:row>10</xdr:row>
                    <xdr:rowOff>180975</xdr:rowOff>
                  </to>
                </anchor>
              </controlPr>
            </control>
          </mc:Choice>
        </mc:AlternateContent>
        <mc:AlternateContent xmlns:mc="http://schemas.openxmlformats.org/markup-compatibility/2006">
          <mc:Choice Requires="x14">
            <control shapeId="1031" r:id="rId8" name="Button 7">
              <controlPr defaultSize="0" print="0" autoFill="0" autoPict="0" macro="[0]!MOL">
                <anchor moveWithCells="1" sizeWithCells="1">
                  <from>
                    <xdr:col>9</xdr:col>
                    <xdr:colOff>0</xdr:colOff>
                    <xdr:row>8</xdr:row>
                    <xdr:rowOff>9525</xdr:rowOff>
                  </from>
                  <to>
                    <xdr:col>12</xdr:col>
                    <xdr:colOff>0</xdr:colOff>
                    <xdr:row>11</xdr:row>
                    <xdr:rowOff>0</xdr:rowOff>
                  </to>
                </anchor>
              </controlPr>
            </control>
          </mc:Choice>
        </mc:AlternateContent>
        <mc:AlternateContent xmlns:mc="http://schemas.openxmlformats.org/markup-compatibility/2006">
          <mc:Choice Requires="x14">
            <control shapeId="1032" r:id="rId9" name="Button 8">
              <controlPr defaultSize="0" print="0" autoFill="0" autoPict="0" macro="[0]!Simply">
                <anchor moveWithCells="1" sizeWithCells="1">
                  <from>
                    <xdr:col>13</xdr:col>
                    <xdr:colOff>0</xdr:colOff>
                    <xdr:row>8</xdr:row>
                    <xdr:rowOff>0</xdr:rowOff>
                  </from>
                  <to>
                    <xdr:col>16</xdr:col>
                    <xdr:colOff>0</xdr:colOff>
                    <xdr:row>11</xdr:row>
                    <xdr:rowOff>0</xdr:rowOff>
                  </to>
                </anchor>
              </controlPr>
            </control>
          </mc:Choice>
        </mc:AlternateContent>
        <mc:AlternateContent xmlns:mc="http://schemas.openxmlformats.org/markup-compatibility/2006">
          <mc:Choice Requires="x14">
            <control shapeId="1033" r:id="rId10" name="Button 9">
              <controlPr defaultSize="0" print="0" autoFill="0" autoPict="0" macro="[0]!URA">
                <anchor moveWithCells="1" sizeWithCells="1">
                  <from>
                    <xdr:col>21</xdr:col>
                    <xdr:colOff>9525</xdr:colOff>
                    <xdr:row>8</xdr:row>
                    <xdr:rowOff>0</xdr:rowOff>
                  </from>
                  <to>
                    <xdr:col>24</xdr:col>
                    <xdr:colOff>0</xdr:colOff>
                    <xdr:row>11</xdr:row>
                    <xdr:rowOff>9525</xdr:rowOff>
                  </to>
                </anchor>
              </controlPr>
            </control>
          </mc:Choice>
        </mc:AlternateContent>
        <mc:AlternateContent xmlns:mc="http://schemas.openxmlformats.org/markup-compatibility/2006">
          <mc:Choice Requires="x14">
            <control shapeId="1034" r:id="rId11" name="Button 10">
              <controlPr defaultSize="0" print="0" autoFill="0" autoPict="0" macro="[0]!CHA">
                <anchor moveWithCells="1" sizeWithCells="1">
                  <from>
                    <xdr:col>1</xdr:col>
                    <xdr:colOff>0</xdr:colOff>
                    <xdr:row>14</xdr:row>
                    <xdr:rowOff>9525</xdr:rowOff>
                  </from>
                  <to>
                    <xdr:col>4</xdr:col>
                    <xdr:colOff>9525</xdr:colOff>
                    <xdr:row>17</xdr:row>
                    <xdr:rowOff>9525</xdr:rowOff>
                  </to>
                </anchor>
              </controlPr>
            </control>
          </mc:Choice>
        </mc:AlternateContent>
        <mc:AlternateContent xmlns:mc="http://schemas.openxmlformats.org/markup-compatibility/2006">
          <mc:Choice Requires="x14">
            <control shapeId="1035" r:id="rId12" name="Button 11">
              <controlPr defaultSize="0" print="0" autoFill="0" autoPict="0" macro="[0]!MOL_SMI">
                <anchor moveWithCells="1" sizeWithCells="1">
                  <from>
                    <xdr:col>5</xdr:col>
                    <xdr:colOff>0</xdr:colOff>
                    <xdr:row>13</xdr:row>
                    <xdr:rowOff>323850</xdr:rowOff>
                  </from>
                  <to>
                    <xdr:col>7</xdr:col>
                    <xdr:colOff>600075</xdr:colOff>
                    <xdr:row>17</xdr:row>
                    <xdr:rowOff>0</xdr:rowOff>
                  </to>
                </anchor>
              </controlPr>
            </control>
          </mc:Choice>
        </mc:AlternateContent>
        <mc:AlternateContent xmlns:mc="http://schemas.openxmlformats.org/markup-compatibility/2006">
          <mc:Choice Requires="x14">
            <control shapeId="1036" r:id="rId13" name="Button 12">
              <controlPr defaultSize="0" print="0" autoFill="0" autoPict="0" macro="[0]!SUN_SMI">
                <anchor moveWithCells="1" sizeWithCells="1">
                  <from>
                    <xdr:col>9</xdr:col>
                    <xdr:colOff>0</xdr:colOff>
                    <xdr:row>13</xdr:row>
                    <xdr:rowOff>323850</xdr:rowOff>
                  </from>
                  <to>
                    <xdr:col>12</xdr:col>
                    <xdr:colOff>9525</xdr:colOff>
                    <xdr:row>17</xdr:row>
                    <xdr:rowOff>0</xdr:rowOff>
                  </to>
                </anchor>
              </controlPr>
            </control>
          </mc:Choice>
        </mc:AlternateContent>
        <mc:AlternateContent xmlns:mc="http://schemas.openxmlformats.org/markup-compatibility/2006">
          <mc:Choice Requires="x14">
            <control shapeId="1037" r:id="rId14" name="Button 13">
              <controlPr defaultSize="0" print="0" autoFill="0" autoPict="0" macro="[0]!SUN_CW">
                <anchor moveWithCells="1" sizeWithCells="1">
                  <from>
                    <xdr:col>13</xdr:col>
                    <xdr:colOff>0</xdr:colOff>
                    <xdr:row>14</xdr:row>
                    <xdr:rowOff>0</xdr:rowOff>
                  </from>
                  <to>
                    <xdr:col>16</xdr:col>
                    <xdr:colOff>9525</xdr:colOff>
                    <xdr:row>16</xdr:row>
                    <xdr:rowOff>180975</xdr:rowOff>
                  </to>
                </anchor>
              </controlPr>
            </control>
          </mc:Choice>
        </mc:AlternateContent>
        <mc:AlternateContent xmlns:mc="http://schemas.openxmlformats.org/markup-compatibility/2006">
          <mc:Choice Requires="x14">
            <control shapeId="1038" r:id="rId15" name="Button 14">
              <controlPr defaultSize="0" print="0" autoFill="0" autoPict="0" macro="[0]!CCP">
                <anchor moveWithCells="1" sizeWithCells="1">
                  <from>
                    <xdr:col>1</xdr:col>
                    <xdr:colOff>0</xdr:colOff>
                    <xdr:row>20</xdr:row>
                    <xdr:rowOff>9525</xdr:rowOff>
                  </from>
                  <to>
                    <xdr:col>4</xdr:col>
                    <xdr:colOff>0</xdr:colOff>
                    <xdr:row>23</xdr:row>
                    <xdr:rowOff>0</xdr:rowOff>
                  </to>
                </anchor>
              </controlPr>
            </control>
          </mc:Choice>
        </mc:AlternateContent>
        <mc:AlternateContent xmlns:mc="http://schemas.openxmlformats.org/markup-compatibility/2006">
          <mc:Choice Requires="x14">
            <control shapeId="1039" r:id="rId16" name="Button 15">
              <controlPr defaultSize="0" print="0" autoFill="0" autoPict="0" macro="[0]!PRS">
                <anchor moveWithCells="1" sizeWithCells="1">
                  <from>
                    <xdr:col>5</xdr:col>
                    <xdr:colOff>0</xdr:colOff>
                    <xdr:row>20</xdr:row>
                    <xdr:rowOff>0</xdr:rowOff>
                  </from>
                  <to>
                    <xdr:col>7</xdr:col>
                    <xdr:colOff>571500</xdr:colOff>
                    <xdr:row>23</xdr:row>
                    <xdr:rowOff>9525</xdr:rowOff>
                  </to>
                </anchor>
              </controlPr>
            </control>
          </mc:Choice>
        </mc:AlternateContent>
        <mc:AlternateContent xmlns:mc="http://schemas.openxmlformats.org/markup-compatibility/2006">
          <mc:Choice Requires="x14">
            <control shapeId="1040" r:id="rId17" name="Button 16">
              <controlPr defaultSize="0" print="0" autoFill="0" autoPict="0" macro="[0]!Vivida">
                <anchor moveWithCells="1" sizeWithCells="1">
                  <from>
                    <xdr:col>9</xdr:col>
                    <xdr:colOff>0</xdr:colOff>
                    <xdr:row>19</xdr:row>
                    <xdr:rowOff>323850</xdr:rowOff>
                  </from>
                  <to>
                    <xdr:col>12</xdr:col>
                    <xdr:colOff>0</xdr:colOff>
                    <xdr:row>23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D48B8-A12F-42F9-BA29-903E056E94B9}">
  <sheetPr codeName="Sheet4">
    <pageSetUpPr fitToPage="1"/>
  </sheetPr>
  <dimension ref="A1:U100"/>
  <sheetViews>
    <sheetView tabSelected="1" zoomScaleNormal="100" workbookViewId="0"/>
  </sheetViews>
  <sheetFormatPr defaultRowHeight="15" x14ac:dyDescent="0.25"/>
  <cols>
    <col min="1" max="1" width="12.42578125" customWidth="1"/>
    <col min="2" max="2" width="15.7109375" customWidth="1"/>
    <col min="3" max="3" width="17" bestFit="1" customWidth="1"/>
    <col min="4" max="4" width="34.28515625" customWidth="1"/>
    <col min="5" max="6" width="21" customWidth="1"/>
    <col min="7" max="7" width="22" customWidth="1"/>
    <col min="8" max="8" width="33.7109375" bestFit="1" customWidth="1"/>
    <col min="9" max="9" width="16.140625" customWidth="1"/>
    <col min="10" max="10" width="33.7109375" bestFit="1" customWidth="1"/>
    <col min="11" max="11" width="16.7109375" bestFit="1" customWidth="1"/>
    <col min="12" max="12" width="33.7109375" bestFit="1" customWidth="1"/>
    <col min="13" max="13" width="14.85546875" customWidth="1"/>
    <col min="14" max="14" width="19.5703125" customWidth="1"/>
    <col min="15" max="15" width="13.140625" bestFit="1" customWidth="1"/>
    <col min="19" max="19" width="0" hidden="1" customWidth="1"/>
  </cols>
  <sheetData>
    <row r="1" spans="1:21" ht="15.75" thickBot="1" x14ac:dyDescent="0.3"/>
    <row r="2" spans="1:21" ht="23.25" customHeight="1" x14ac:dyDescent="0.25">
      <c r="A2" s="979" t="s">
        <v>17</v>
      </c>
      <c r="B2" s="980"/>
      <c r="C2" s="980"/>
      <c r="D2" s="980"/>
      <c r="E2" s="983"/>
      <c r="F2" s="983"/>
      <c r="G2" s="983"/>
      <c r="H2" s="983"/>
      <c r="I2" s="983"/>
      <c r="J2" s="984"/>
    </row>
    <row r="3" spans="1:21" ht="15.75" thickBot="1" x14ac:dyDescent="0.3">
      <c r="A3" s="981"/>
      <c r="B3" s="982"/>
      <c r="C3" s="982"/>
      <c r="D3" s="982"/>
      <c r="E3" s="985"/>
      <c r="F3" s="985"/>
      <c r="G3" s="985"/>
      <c r="H3" s="985"/>
      <c r="I3" s="985"/>
      <c r="J3" s="986"/>
    </row>
    <row r="4" spans="1:21" ht="15.75" thickBot="1" x14ac:dyDescent="0.3">
      <c r="H4" s="947"/>
      <c r="I4" s="947"/>
      <c r="J4" s="947"/>
    </row>
    <row r="5" spans="1:21" ht="32.25" customHeight="1" thickBot="1" x14ac:dyDescent="0.3">
      <c r="A5" s="994"/>
      <c r="B5" s="995"/>
      <c r="C5" s="618" t="s">
        <v>1275</v>
      </c>
      <c r="D5" s="594" t="s">
        <v>19</v>
      </c>
      <c r="E5" s="640" t="s">
        <v>20</v>
      </c>
      <c r="F5" s="1036" t="s">
        <v>21</v>
      </c>
      <c r="G5" s="1037"/>
      <c r="H5" s="1006" t="s">
        <v>22</v>
      </c>
      <c r="I5" s="1038"/>
      <c r="J5" s="1006" t="s">
        <v>23</v>
      </c>
      <c r="K5" s="1038"/>
      <c r="L5" s="1006" t="s">
        <v>24</v>
      </c>
      <c r="M5" s="1040"/>
      <c r="O5" s="34"/>
      <c r="P5" s="34"/>
      <c r="Q5" s="34"/>
      <c r="R5" s="34"/>
    </row>
    <row r="6" spans="1:21" x14ac:dyDescent="0.25">
      <c r="A6" s="1000" t="s">
        <v>25</v>
      </c>
      <c r="B6" s="1001"/>
      <c r="C6" s="997"/>
      <c r="D6" s="954"/>
      <c r="E6" s="1050"/>
      <c r="F6" s="623"/>
      <c r="G6" s="621"/>
      <c r="H6" s="1007"/>
      <c r="I6" s="1039"/>
      <c r="J6" s="1007"/>
      <c r="K6" s="1039"/>
      <c r="L6" s="1007"/>
      <c r="M6" s="1041"/>
      <c r="O6" s="34"/>
      <c r="P6" s="34"/>
      <c r="Q6" s="34"/>
      <c r="R6" s="34"/>
      <c r="S6" t="s">
        <v>26</v>
      </c>
    </row>
    <row r="7" spans="1:21" x14ac:dyDescent="0.25">
      <c r="A7" s="1000"/>
      <c r="B7" s="1001"/>
      <c r="C7" s="997"/>
      <c r="D7" s="954"/>
      <c r="E7" s="1051"/>
      <c r="F7" s="624"/>
      <c r="G7" s="603"/>
      <c r="H7" s="602" t="s">
        <v>27</v>
      </c>
      <c r="I7" s="575"/>
      <c r="J7" s="311" t="s">
        <v>27</v>
      </c>
      <c r="K7" s="575"/>
      <c r="L7" s="311" t="s">
        <v>27</v>
      </c>
      <c r="M7" s="578"/>
      <c r="R7" s="34"/>
      <c r="S7" s="34" t="s">
        <v>28</v>
      </c>
    </row>
    <row r="8" spans="1:21" ht="15.75" thickBot="1" x14ac:dyDescent="0.3">
      <c r="A8" s="1000"/>
      <c r="B8" s="1001"/>
      <c r="C8" s="997"/>
      <c r="D8" s="954"/>
      <c r="E8" s="1052"/>
      <c r="F8" s="625"/>
      <c r="G8" s="620"/>
      <c r="H8" s="723" t="s">
        <v>29</v>
      </c>
      <c r="I8" s="724"/>
      <c r="J8" s="725" t="s">
        <v>29</v>
      </c>
      <c r="K8" s="724"/>
      <c r="L8" s="725" t="s">
        <v>29</v>
      </c>
      <c r="M8" s="726"/>
      <c r="R8" s="34"/>
      <c r="S8" s="34"/>
    </row>
    <row r="9" spans="1:21" ht="18.75" customHeight="1" x14ac:dyDescent="0.25">
      <c r="A9" s="1002" t="s">
        <v>30</v>
      </c>
      <c r="B9" s="1003"/>
      <c r="C9" s="998"/>
      <c r="D9" s="1045"/>
      <c r="E9" s="1053"/>
      <c r="F9" s="623"/>
      <c r="G9" s="621"/>
      <c r="H9" s="732" t="s">
        <v>22</v>
      </c>
      <c r="I9" s="733"/>
      <c r="J9" s="246" t="s">
        <v>23</v>
      </c>
      <c r="K9" s="733"/>
      <c r="L9" s="246" t="s">
        <v>24</v>
      </c>
      <c r="M9" s="734"/>
      <c r="N9" s="35"/>
      <c r="R9" s="34"/>
      <c r="S9" s="34"/>
    </row>
    <row r="10" spans="1:21" x14ac:dyDescent="0.25">
      <c r="A10" s="1000"/>
      <c r="B10" s="1001"/>
      <c r="C10" s="997"/>
      <c r="D10" s="954"/>
      <c r="E10" s="1051"/>
      <c r="F10" s="624"/>
      <c r="G10" s="603"/>
      <c r="H10" s="602" t="s">
        <v>27</v>
      </c>
      <c r="I10" s="576"/>
      <c r="J10" s="311" t="s">
        <v>27</v>
      </c>
      <c r="K10" s="576"/>
      <c r="L10" s="311" t="s">
        <v>27</v>
      </c>
      <c r="M10" s="578"/>
      <c r="R10" s="34"/>
      <c r="S10" s="34"/>
    </row>
    <row r="11" spans="1:21" ht="15.75" thickBot="1" x14ac:dyDescent="0.3">
      <c r="A11" s="1004"/>
      <c r="B11" s="1005"/>
      <c r="C11" s="999"/>
      <c r="D11" s="955"/>
      <c r="E11" s="1054"/>
      <c r="F11" s="626"/>
      <c r="G11" s="622"/>
      <c r="H11" s="245" t="s">
        <v>29</v>
      </c>
      <c r="I11" s="577"/>
      <c r="J11" s="312" t="s">
        <v>29</v>
      </c>
      <c r="K11" s="577"/>
      <c r="L11" s="312" t="s">
        <v>29</v>
      </c>
      <c r="M11" s="579"/>
      <c r="R11" s="34"/>
      <c r="S11" s="34"/>
    </row>
    <row r="12" spans="1:21" ht="18.75" customHeight="1" x14ac:dyDescent="0.25">
      <c r="A12" s="1000" t="s">
        <v>31</v>
      </c>
      <c r="B12" s="1001"/>
      <c r="C12" s="997"/>
      <c r="D12" s="954"/>
      <c r="E12" s="1050"/>
      <c r="F12" s="727"/>
      <c r="G12" s="728"/>
      <c r="H12" s="244" t="s">
        <v>22</v>
      </c>
      <c r="I12" s="729"/>
      <c r="J12" s="730" t="s">
        <v>23</v>
      </c>
      <c r="K12" s="729"/>
      <c r="L12" s="730" t="s">
        <v>24</v>
      </c>
      <c r="M12" s="731"/>
      <c r="N12" s="35"/>
      <c r="R12" s="34"/>
      <c r="S12" s="34"/>
    </row>
    <row r="13" spans="1:21" x14ac:dyDescent="0.25">
      <c r="A13" s="1000"/>
      <c r="B13" s="1001"/>
      <c r="C13" s="997"/>
      <c r="D13" s="954"/>
      <c r="E13" s="1051"/>
      <c r="F13" s="624"/>
      <c r="G13" s="603"/>
      <c r="H13" s="602" t="s">
        <v>27</v>
      </c>
      <c r="I13" s="576"/>
      <c r="J13" s="311" t="s">
        <v>27</v>
      </c>
      <c r="K13" s="576"/>
      <c r="L13" s="311" t="s">
        <v>27</v>
      </c>
      <c r="M13" s="578"/>
      <c r="R13" s="34"/>
      <c r="S13" s="34"/>
    </row>
    <row r="14" spans="1:21" ht="15.75" customHeight="1" thickBot="1" x14ac:dyDescent="0.3">
      <c r="A14" s="1004"/>
      <c r="B14" s="1005"/>
      <c r="C14" s="999"/>
      <c r="D14" s="955"/>
      <c r="E14" s="1054"/>
      <c r="F14" s="626"/>
      <c r="G14" s="622"/>
      <c r="H14" s="245" t="s">
        <v>29</v>
      </c>
      <c r="I14" s="577"/>
      <c r="J14" s="312" t="s">
        <v>29</v>
      </c>
      <c r="K14" s="577"/>
      <c r="L14" s="312" t="s">
        <v>29</v>
      </c>
      <c r="M14" s="579"/>
      <c r="R14" s="34"/>
      <c r="S14" s="34"/>
    </row>
    <row r="15" spans="1:21" ht="15.75" thickBot="1" x14ac:dyDescent="0.3">
      <c r="P15" s="35"/>
      <c r="T15" s="34"/>
      <c r="U15" s="34"/>
    </row>
    <row r="16" spans="1:21" ht="21" x14ac:dyDescent="0.35">
      <c r="A16" s="326"/>
      <c r="B16" s="327"/>
      <c r="C16" s="327"/>
      <c r="D16" s="328"/>
      <c r="E16" s="329"/>
      <c r="F16" s="330"/>
      <c r="G16" s="330"/>
      <c r="H16" s="330"/>
      <c r="I16" s="330"/>
      <c r="J16" s="330"/>
      <c r="K16" s="330"/>
      <c r="L16" s="330"/>
      <c r="M16" s="330"/>
      <c r="N16" s="332"/>
      <c r="O16" s="331"/>
    </row>
    <row r="17" spans="1:15" ht="21" x14ac:dyDescent="0.35">
      <c r="A17" s="393" t="s">
        <v>32</v>
      </c>
      <c r="B17" s="1042" t="s">
        <v>33</v>
      </c>
      <c r="C17" s="1042"/>
      <c r="D17" s="1043"/>
      <c r="E17" s="989" t="s">
        <v>34</v>
      </c>
      <c r="F17" s="988"/>
      <c r="G17" s="988"/>
      <c r="H17" s="988" t="s">
        <v>35</v>
      </c>
      <c r="I17" s="988"/>
      <c r="J17" s="988" t="s">
        <v>36</v>
      </c>
      <c r="K17" s="988"/>
      <c r="L17" s="988" t="s">
        <v>37</v>
      </c>
      <c r="M17" s="988"/>
      <c r="N17" s="1046" t="s">
        <v>38</v>
      </c>
      <c r="O17" s="1047"/>
    </row>
    <row r="18" spans="1:15" x14ac:dyDescent="0.25">
      <c r="A18" s="350">
        <v>13</v>
      </c>
      <c r="B18" s="1012" t="s">
        <v>39</v>
      </c>
      <c r="C18" s="1012"/>
      <c r="D18" s="1012"/>
      <c r="E18" s="1044">
        <f>'Value Based Purchasing'!B5</f>
        <v>0</v>
      </c>
      <c r="F18" s="1013"/>
      <c r="G18" s="1013"/>
      <c r="H18" s="1013">
        <f>'Value Based Purchasing'!B4</f>
        <v>120</v>
      </c>
      <c r="I18" s="1013"/>
      <c r="J18" s="965">
        <f t="shared" ref="J18:J29" si="0">E18/H18</f>
        <v>0</v>
      </c>
      <c r="K18" s="965"/>
      <c r="L18" s="1034">
        <v>370</v>
      </c>
      <c r="M18" s="1034"/>
      <c r="N18" s="1048">
        <f t="shared" ref="N18:N30" si="1">J18*L18</f>
        <v>0</v>
      </c>
      <c r="O18" s="1049"/>
    </row>
    <row r="19" spans="1:15" x14ac:dyDescent="0.25">
      <c r="A19" s="325">
        <v>14</v>
      </c>
      <c r="B19" s="963" t="s">
        <v>40</v>
      </c>
      <c r="C19" s="963"/>
      <c r="D19" s="963"/>
      <c r="E19" s="960">
        <f>'Expanded Benefits'!B5</f>
        <v>0</v>
      </c>
      <c r="F19" s="961"/>
      <c r="G19" s="957"/>
      <c r="H19" s="957">
        <f>'Expanded Benefits'!B4</f>
        <v>195</v>
      </c>
      <c r="I19" s="957"/>
      <c r="J19" s="962">
        <f t="shared" si="0"/>
        <v>0</v>
      </c>
      <c r="K19" s="962"/>
      <c r="L19" s="961">
        <v>370</v>
      </c>
      <c r="M19" s="961"/>
      <c r="N19" s="1008">
        <f>J19*L19</f>
        <v>0</v>
      </c>
      <c r="O19" s="1009"/>
    </row>
    <row r="20" spans="1:15" x14ac:dyDescent="0.25">
      <c r="A20" s="325">
        <v>15</v>
      </c>
      <c r="B20" s="959" t="s">
        <v>41</v>
      </c>
      <c r="C20" s="959"/>
      <c r="D20" s="959"/>
      <c r="E20" s="956">
        <f>'Birth Outcomes'!B5</f>
        <v>0</v>
      </c>
      <c r="F20" s="957"/>
      <c r="G20" s="957"/>
      <c r="H20" s="957">
        <f>'Birth Outcomes'!B4</f>
        <v>300</v>
      </c>
      <c r="I20" s="957"/>
      <c r="J20" s="962">
        <f t="shared" si="0"/>
        <v>0</v>
      </c>
      <c r="K20" s="962"/>
      <c r="L20" s="961">
        <v>300</v>
      </c>
      <c r="M20" s="961"/>
      <c r="N20" s="1008">
        <f t="shared" si="1"/>
        <v>0</v>
      </c>
      <c r="O20" s="1009"/>
    </row>
    <row r="21" spans="1:15" x14ac:dyDescent="0.25">
      <c r="A21" s="325">
        <v>16</v>
      </c>
      <c r="B21" s="959" t="s">
        <v>42</v>
      </c>
      <c r="C21" s="959"/>
      <c r="D21" s="959"/>
      <c r="E21" s="960">
        <f>'Chr Disease Management'!B5</f>
        <v>0</v>
      </c>
      <c r="F21" s="961"/>
      <c r="G21" s="961"/>
      <c r="H21" s="957">
        <f>'Chr Disease Management'!B4</f>
        <v>96</v>
      </c>
      <c r="I21" s="957"/>
      <c r="J21" s="962">
        <f t="shared" si="0"/>
        <v>0</v>
      </c>
      <c r="K21" s="962"/>
      <c r="L21" s="961">
        <v>250</v>
      </c>
      <c r="M21" s="961"/>
      <c r="N21" s="1008">
        <f t="shared" si="1"/>
        <v>0</v>
      </c>
      <c r="O21" s="1009"/>
    </row>
    <row r="22" spans="1:15" x14ac:dyDescent="0.25">
      <c r="A22" s="325">
        <v>17</v>
      </c>
      <c r="B22" s="963" t="s">
        <v>43</v>
      </c>
      <c r="C22" s="963"/>
      <c r="D22" s="963"/>
      <c r="E22" s="956">
        <f>HEDIS!B5</f>
        <v>0</v>
      </c>
      <c r="F22" s="957"/>
      <c r="G22" s="957"/>
      <c r="H22" s="957">
        <f>HEDIS!B4</f>
        <v>120</v>
      </c>
      <c r="I22" s="957"/>
      <c r="J22" s="962">
        <f t="shared" si="0"/>
        <v>0</v>
      </c>
      <c r="K22" s="962"/>
      <c r="L22" s="961">
        <v>120</v>
      </c>
      <c r="M22" s="961"/>
      <c r="N22" s="1008">
        <f t="shared" si="1"/>
        <v>0</v>
      </c>
      <c r="O22" s="1009"/>
    </row>
    <row r="23" spans="1:15" x14ac:dyDescent="0.25">
      <c r="A23" s="325">
        <v>18</v>
      </c>
      <c r="B23" s="959" t="s">
        <v>44</v>
      </c>
      <c r="C23" s="959"/>
      <c r="D23" s="959"/>
      <c r="E23" s="960">
        <f>'Commitment to Quality'!B5</f>
        <v>0</v>
      </c>
      <c r="F23" s="961"/>
      <c r="G23" s="961"/>
      <c r="H23" s="961">
        <f>'Commitment to Quality'!B4</f>
        <v>63</v>
      </c>
      <c r="I23" s="957"/>
      <c r="J23" s="962">
        <f t="shared" si="0"/>
        <v>0</v>
      </c>
      <c r="K23" s="962"/>
      <c r="L23" s="961">
        <v>90</v>
      </c>
      <c r="M23" s="961"/>
      <c r="N23" s="1008">
        <f t="shared" si="1"/>
        <v>0</v>
      </c>
      <c r="O23" s="1009"/>
    </row>
    <row r="24" spans="1:15" x14ac:dyDescent="0.25">
      <c r="A24" s="466">
        <v>19</v>
      </c>
      <c r="B24" s="958" t="s">
        <v>45</v>
      </c>
      <c r="C24" s="958"/>
      <c r="D24" s="958"/>
      <c r="E24" s="951">
        <f>'Person-Centered Care'!B5</f>
        <v>0</v>
      </c>
      <c r="F24" s="952"/>
      <c r="G24" s="952"/>
      <c r="H24" s="952">
        <f>'Person-Centered Care'!B4</f>
        <v>200</v>
      </c>
      <c r="I24" s="952"/>
      <c r="J24" s="953">
        <f t="shared" si="0"/>
        <v>0</v>
      </c>
      <c r="K24" s="953"/>
      <c r="L24" s="952">
        <v>300</v>
      </c>
      <c r="M24" s="952"/>
      <c r="N24" s="1010">
        <f t="shared" si="1"/>
        <v>0</v>
      </c>
      <c r="O24" s="1011"/>
    </row>
    <row r="25" spans="1:15" x14ac:dyDescent="0.25">
      <c r="A25" s="466">
        <v>20</v>
      </c>
      <c r="B25" s="950" t="s">
        <v>46</v>
      </c>
      <c r="C25" s="950"/>
      <c r="D25" s="950"/>
      <c r="E25" s="951">
        <f>'Behav Health-Prim Care Integ'!B5</f>
        <v>0</v>
      </c>
      <c r="F25" s="952"/>
      <c r="G25" s="952"/>
      <c r="H25" s="952">
        <f>'Behav Health-Prim Care Integ'!B4</f>
        <v>730</v>
      </c>
      <c r="I25" s="952"/>
      <c r="J25" s="953">
        <f t="shared" si="0"/>
        <v>0</v>
      </c>
      <c r="K25" s="953"/>
      <c r="L25" s="952">
        <v>250</v>
      </c>
      <c r="M25" s="952"/>
      <c r="N25" s="1010">
        <f t="shared" si="1"/>
        <v>0</v>
      </c>
      <c r="O25" s="1011"/>
    </row>
    <row r="26" spans="1:15" x14ac:dyDescent="0.25">
      <c r="A26" s="466">
        <v>23</v>
      </c>
      <c r="B26" s="958" t="s">
        <v>47</v>
      </c>
      <c r="C26" s="958"/>
      <c r="D26" s="958"/>
      <c r="E26" s="951">
        <f>Telemedicine!B5</f>
        <v>0</v>
      </c>
      <c r="F26" s="952"/>
      <c r="G26" s="952"/>
      <c r="H26" s="952">
        <f>Telemedicine!B4</f>
        <v>270</v>
      </c>
      <c r="I26" s="952"/>
      <c r="J26" s="953">
        <f t="shared" si="0"/>
        <v>0</v>
      </c>
      <c r="K26" s="953"/>
      <c r="L26" s="952">
        <v>120</v>
      </c>
      <c r="M26" s="952"/>
      <c r="N26" s="1010">
        <f t="shared" si="1"/>
        <v>0</v>
      </c>
      <c r="O26" s="1011"/>
    </row>
    <row r="27" spans="1:15" x14ac:dyDescent="0.25">
      <c r="A27" s="466">
        <v>24</v>
      </c>
      <c r="B27" s="950" t="s">
        <v>48</v>
      </c>
      <c r="C27" s="950"/>
      <c r="D27" s="950"/>
      <c r="E27" s="951">
        <f>'EBP Child Intense Behav'!B5</f>
        <v>0</v>
      </c>
      <c r="F27" s="952"/>
      <c r="G27" s="952"/>
      <c r="H27" s="952">
        <f>'EBP Child Intense Behav'!B4</f>
        <v>50</v>
      </c>
      <c r="I27" s="952"/>
      <c r="J27" s="953">
        <f t="shared" ref="J27" si="2">E27/H27</f>
        <v>0</v>
      </c>
      <c r="K27" s="953"/>
      <c r="L27" s="952">
        <v>50</v>
      </c>
      <c r="M27" s="952"/>
      <c r="N27" s="1010">
        <f t="shared" ref="N27" si="3">J27*L27</f>
        <v>0</v>
      </c>
      <c r="O27" s="1011"/>
    </row>
    <row r="28" spans="1:15" x14ac:dyDescent="0.25">
      <c r="A28" s="466">
        <v>25</v>
      </c>
      <c r="B28" s="950" t="s">
        <v>49</v>
      </c>
      <c r="C28" s="950"/>
      <c r="D28" s="950"/>
      <c r="E28" s="951">
        <f>'Essential Providers'!B5</f>
        <v>0</v>
      </c>
      <c r="F28" s="952"/>
      <c r="G28" s="952"/>
      <c r="H28" s="952">
        <f>'Essential Providers'!B4</f>
        <v>40</v>
      </c>
      <c r="I28" s="952"/>
      <c r="J28" s="953">
        <f t="shared" si="0"/>
        <v>0</v>
      </c>
      <c r="K28" s="953"/>
      <c r="L28" s="952">
        <v>80</v>
      </c>
      <c r="M28" s="952"/>
      <c r="N28" s="1010">
        <f t="shared" si="1"/>
        <v>0</v>
      </c>
      <c r="O28" s="1011"/>
    </row>
    <row r="29" spans="1:15" x14ac:dyDescent="0.25">
      <c r="A29" s="325">
        <v>26</v>
      </c>
      <c r="B29" s="963" t="s">
        <v>50</v>
      </c>
      <c r="C29" s="963"/>
      <c r="D29" s="963"/>
      <c r="E29" s="956">
        <f>'Community Partnerships'!B5</f>
        <v>0</v>
      </c>
      <c r="F29" s="957"/>
      <c r="G29" s="957"/>
      <c r="H29" s="957">
        <f>'Community Partnerships'!B4</f>
        <v>148</v>
      </c>
      <c r="I29" s="957"/>
      <c r="J29" s="962">
        <f t="shared" si="0"/>
        <v>0</v>
      </c>
      <c r="K29" s="962"/>
      <c r="L29" s="961">
        <v>300</v>
      </c>
      <c r="M29" s="961"/>
      <c r="N29" s="1008">
        <f t="shared" si="1"/>
        <v>0</v>
      </c>
      <c r="O29" s="1009"/>
    </row>
    <row r="30" spans="1:15" x14ac:dyDescent="0.25">
      <c r="A30" s="325">
        <v>27</v>
      </c>
      <c r="B30" s="959" t="s">
        <v>51</v>
      </c>
      <c r="C30" s="959"/>
      <c r="D30" s="959"/>
      <c r="E30" s="960">
        <f>'Exp. Benefits-Pathways'!B5</f>
        <v>0</v>
      </c>
      <c r="F30" s="961"/>
      <c r="G30" s="961"/>
      <c r="H30" s="957">
        <f>'Exp. Benefits-Pathways'!B4</f>
        <v>20</v>
      </c>
      <c r="I30" s="957"/>
      <c r="J30" s="962">
        <f t="shared" ref="J30" si="4">E30/H30</f>
        <v>0</v>
      </c>
      <c r="K30" s="962"/>
      <c r="L30" s="961">
        <v>300</v>
      </c>
      <c r="M30" s="961"/>
      <c r="N30" s="1008">
        <f t="shared" si="1"/>
        <v>0</v>
      </c>
      <c r="O30" s="1009"/>
    </row>
    <row r="31" spans="1:15" x14ac:dyDescent="0.25">
      <c r="A31" s="473">
        <v>31</v>
      </c>
      <c r="B31" s="990" t="s">
        <v>52</v>
      </c>
      <c r="C31" s="990"/>
      <c r="D31" s="991"/>
      <c r="E31" s="992">
        <f>'Managed Care Experience'!B5</f>
        <v>0</v>
      </c>
      <c r="F31" s="993"/>
      <c r="G31" s="993"/>
      <c r="H31" s="974">
        <f>'Managed Care Experience'!B4</f>
        <v>5</v>
      </c>
      <c r="I31" s="974"/>
      <c r="J31" s="996">
        <f>E31/H31</f>
        <v>0</v>
      </c>
      <c r="K31" s="996"/>
      <c r="L31" s="974">
        <v>350</v>
      </c>
      <c r="M31" s="1035"/>
      <c r="N31" s="1032">
        <f t="shared" ref="N31" si="5">J31*L31</f>
        <v>0</v>
      </c>
      <c r="O31" s="1033"/>
    </row>
    <row r="32" spans="1:15" x14ac:dyDescent="0.25">
      <c r="A32" s="470"/>
      <c r="B32" s="958" t="s">
        <v>53</v>
      </c>
      <c r="C32" s="958"/>
      <c r="D32" s="964"/>
      <c r="E32" s="972">
        <f>Compliance!C5</f>
        <v>0</v>
      </c>
      <c r="F32" s="971"/>
      <c r="G32" s="971"/>
      <c r="H32" s="971">
        <f>Compliance!C4</f>
        <v>297</v>
      </c>
      <c r="I32" s="971"/>
      <c r="J32" s="975">
        <f>E34/H34</f>
        <v>0</v>
      </c>
      <c r="K32" s="975"/>
      <c r="L32" s="1025">
        <v>250</v>
      </c>
      <c r="M32" s="1026"/>
      <c r="N32" s="1017">
        <f>J32*L32</f>
        <v>0</v>
      </c>
      <c r="O32" s="1018"/>
    </row>
    <row r="33" spans="1:15" x14ac:dyDescent="0.25">
      <c r="A33" s="470">
        <v>32</v>
      </c>
      <c r="B33" s="641"/>
      <c r="C33" s="641"/>
      <c r="D33" s="468" t="s">
        <v>54</v>
      </c>
      <c r="E33" s="951">
        <f>'Compliance-Terminations'!C5</f>
        <v>0</v>
      </c>
      <c r="F33" s="952"/>
      <c r="G33" s="952"/>
      <c r="H33" s="952">
        <f>'Compliance-Terminations'!C4</f>
        <v>50</v>
      </c>
      <c r="I33" s="952"/>
      <c r="J33" s="976"/>
      <c r="K33" s="976"/>
      <c r="L33" s="1027"/>
      <c r="M33" s="1028"/>
      <c r="N33" s="1019"/>
      <c r="O33" s="1020"/>
    </row>
    <row r="34" spans="1:15" x14ac:dyDescent="0.25">
      <c r="A34" s="471"/>
      <c r="B34" s="642"/>
      <c r="C34" s="642"/>
      <c r="D34" s="472" t="s">
        <v>55</v>
      </c>
      <c r="E34" s="973">
        <f>E32+E33</f>
        <v>0</v>
      </c>
      <c r="F34" s="974"/>
      <c r="G34" s="974"/>
      <c r="H34" s="974">
        <f>H32+H33</f>
        <v>347</v>
      </c>
      <c r="I34" s="974"/>
      <c r="J34" s="977"/>
      <c r="K34" s="977"/>
      <c r="L34" s="1029"/>
      <c r="M34" s="1030"/>
      <c r="N34" s="1021"/>
      <c r="O34" s="1022"/>
    </row>
    <row r="35" spans="1:15" x14ac:dyDescent="0.25">
      <c r="A35" s="466">
        <v>33</v>
      </c>
      <c r="B35" s="958" t="s">
        <v>56</v>
      </c>
      <c r="C35" s="958"/>
      <c r="D35" s="958"/>
      <c r="E35" s="951">
        <f>'Florida Presence'!B5</f>
        <v>0</v>
      </c>
      <c r="F35" s="952"/>
      <c r="G35" s="952"/>
      <c r="H35" s="952">
        <f>'Florida Presence'!B4</f>
        <v>100</v>
      </c>
      <c r="I35" s="952"/>
      <c r="J35" s="953">
        <f>E35/H35</f>
        <v>0</v>
      </c>
      <c r="K35" s="953"/>
      <c r="L35" s="952">
        <v>100</v>
      </c>
      <c r="M35" s="952"/>
      <c r="N35" s="1010">
        <f>J35*L35</f>
        <v>0</v>
      </c>
      <c r="O35" s="1011"/>
    </row>
    <row r="36" spans="1:15" x14ac:dyDescent="0.25">
      <c r="A36" s="466">
        <v>34</v>
      </c>
      <c r="B36" s="958" t="s">
        <v>57</v>
      </c>
      <c r="C36" s="958"/>
      <c r="D36" s="958"/>
      <c r="E36" s="951">
        <f>Accreditation!B5</f>
        <v>0</v>
      </c>
      <c r="F36" s="952"/>
      <c r="G36" s="952"/>
      <c r="H36" s="952">
        <f>Accreditation!B4</f>
        <v>11</v>
      </c>
      <c r="I36" s="952"/>
      <c r="J36" s="953">
        <f>E36/H36</f>
        <v>0</v>
      </c>
      <c r="K36" s="953"/>
      <c r="L36" s="952">
        <v>100</v>
      </c>
      <c r="M36" s="952"/>
      <c r="N36" s="1010">
        <f t="shared" ref="N36" si="6">J36*L36</f>
        <v>0</v>
      </c>
      <c r="O36" s="1011"/>
    </row>
    <row r="37" spans="1:15" x14ac:dyDescent="0.25">
      <c r="A37" s="467">
        <v>35</v>
      </c>
      <c r="B37" s="987" t="s">
        <v>58</v>
      </c>
      <c r="C37" s="987"/>
      <c r="D37" s="987"/>
      <c r="E37" s="956">
        <f>Grievances!B5</f>
        <v>0</v>
      </c>
      <c r="F37" s="957"/>
      <c r="G37" s="957"/>
      <c r="H37" s="957">
        <f>Grievances!B4</f>
        <v>15</v>
      </c>
      <c r="I37" s="957"/>
      <c r="J37" s="978">
        <f>E37/H37</f>
        <v>0</v>
      </c>
      <c r="K37" s="978"/>
      <c r="L37" s="957">
        <v>200</v>
      </c>
      <c r="M37" s="957"/>
      <c r="N37" s="1023">
        <f>J37*L37</f>
        <v>0</v>
      </c>
      <c r="O37" s="1024"/>
    </row>
    <row r="38" spans="1:15" x14ac:dyDescent="0.25">
      <c r="A38" s="467">
        <v>36</v>
      </c>
      <c r="B38" s="987" t="s">
        <v>59</v>
      </c>
      <c r="C38" s="987"/>
      <c r="D38" s="987"/>
      <c r="E38" s="956">
        <f>'Processing and Payment'!B5</f>
        <v>0</v>
      </c>
      <c r="F38" s="957"/>
      <c r="G38" s="957"/>
      <c r="H38" s="957">
        <f>'Processing and Payment'!B4</f>
        <v>375</v>
      </c>
      <c r="I38" s="957"/>
      <c r="J38" s="978">
        <f>E38/H38</f>
        <v>0</v>
      </c>
      <c r="K38" s="978"/>
      <c r="L38" s="957">
        <v>200</v>
      </c>
      <c r="M38" s="957"/>
      <c r="N38" s="1023">
        <f>J38*L38</f>
        <v>0</v>
      </c>
      <c r="O38" s="1024"/>
    </row>
    <row r="39" spans="1:15" x14ac:dyDescent="0.25">
      <c r="A39" s="325">
        <v>37</v>
      </c>
      <c r="B39" s="963" t="s">
        <v>60</v>
      </c>
      <c r="C39" s="963"/>
      <c r="D39" s="963"/>
      <c r="E39" s="956">
        <f>'Provider Engagement'!B5</f>
        <v>0</v>
      </c>
      <c r="F39" s="957"/>
      <c r="G39" s="957"/>
      <c r="H39" s="957">
        <f>'Provider Engagement'!B4</f>
        <v>141</v>
      </c>
      <c r="I39" s="957"/>
      <c r="J39" s="962">
        <f t="shared" ref="J39" si="7">E39/H39</f>
        <v>0</v>
      </c>
      <c r="K39" s="962"/>
      <c r="L39" s="961">
        <v>150</v>
      </c>
      <c r="M39" s="961"/>
      <c r="N39" s="1008">
        <f>J39*L39</f>
        <v>0</v>
      </c>
      <c r="O39" s="1009"/>
    </row>
    <row r="40" spans="1:15" x14ac:dyDescent="0.25">
      <c r="A40" s="325">
        <v>38</v>
      </c>
      <c r="B40" s="959" t="s">
        <v>61</v>
      </c>
      <c r="C40" s="959"/>
      <c r="D40" s="959"/>
      <c r="E40" s="960">
        <f>'Non-Emergency Transportation'!B5</f>
        <v>0</v>
      </c>
      <c r="F40" s="961"/>
      <c r="G40" s="957"/>
      <c r="H40" s="957">
        <f>'Non-Emergency Transportation'!B4</f>
        <v>210</v>
      </c>
      <c r="I40" s="957"/>
      <c r="J40" s="962">
        <f t="shared" ref="J40" si="8">E40/H40</f>
        <v>0</v>
      </c>
      <c r="K40" s="962"/>
      <c r="L40" s="961">
        <v>100</v>
      </c>
      <c r="M40" s="961"/>
      <c r="N40" s="1008">
        <f t="shared" ref="N40" si="9">J40*L40</f>
        <v>0</v>
      </c>
      <c r="O40" s="1009"/>
    </row>
    <row r="41" spans="1:15" x14ac:dyDescent="0.25">
      <c r="A41" s="325">
        <v>39</v>
      </c>
      <c r="B41" s="963" t="s">
        <v>62</v>
      </c>
      <c r="C41" s="963"/>
      <c r="D41" s="963"/>
      <c r="E41" s="956">
        <f>CAHPS!B5</f>
        <v>0</v>
      </c>
      <c r="F41" s="957"/>
      <c r="G41" s="957"/>
      <c r="H41" s="957">
        <f>CAHPS!B4</f>
        <v>100</v>
      </c>
      <c r="I41" s="957"/>
      <c r="J41" s="962">
        <f>E41/H41</f>
        <v>0</v>
      </c>
      <c r="K41" s="962"/>
      <c r="L41" s="961">
        <v>100</v>
      </c>
      <c r="M41" s="961"/>
      <c r="N41" s="1008">
        <f>J41*L41</f>
        <v>0</v>
      </c>
      <c r="O41" s="1009"/>
    </row>
    <row r="42" spans="1:15" ht="15.75" thickBot="1" x14ac:dyDescent="0.3">
      <c r="A42" s="469">
        <v>41</v>
      </c>
      <c r="B42" s="948" t="s">
        <v>63</v>
      </c>
      <c r="C42" s="948"/>
      <c r="D42" s="949"/>
      <c r="E42" s="968">
        <f>'Mgmt Exp &amp; Retention'!B5</f>
        <v>0</v>
      </c>
      <c r="F42" s="969"/>
      <c r="G42" s="969"/>
      <c r="H42" s="969">
        <f>'Mgmt Exp &amp; Retention'!B4</f>
        <v>15</v>
      </c>
      <c r="I42" s="969"/>
      <c r="J42" s="970">
        <f>E42/H42</f>
        <v>0</v>
      </c>
      <c r="K42" s="970"/>
      <c r="L42" s="969">
        <v>75</v>
      </c>
      <c r="M42" s="1031"/>
      <c r="N42" s="1014">
        <f>J42*L42</f>
        <v>0</v>
      </c>
      <c r="O42" s="1015"/>
    </row>
    <row r="43" spans="1:15" ht="14.25" customHeight="1" x14ac:dyDescent="0.25">
      <c r="A43" s="398"/>
      <c r="B43" s="398"/>
      <c r="C43" s="398"/>
      <c r="D43" s="398"/>
      <c r="E43" s="966"/>
      <c r="F43" s="966"/>
      <c r="G43" s="966"/>
      <c r="H43" s="966"/>
      <c r="I43" s="966"/>
      <c r="J43" s="967"/>
      <c r="K43" s="967"/>
      <c r="L43" s="967"/>
      <c r="M43" s="967"/>
      <c r="N43" s="1016"/>
      <c r="O43" s="1016"/>
    </row>
    <row r="44" spans="1:15" x14ac:dyDescent="0.25">
      <c r="A44" t="s">
        <v>64</v>
      </c>
      <c r="E44" s="140"/>
    </row>
    <row r="45" spans="1:15" x14ac:dyDescent="0.25">
      <c r="A45" t="s">
        <v>65</v>
      </c>
    </row>
    <row r="47" spans="1:15" x14ac:dyDescent="0.25">
      <c r="D47" s="16"/>
      <c r="L47" s="363"/>
    </row>
    <row r="58" spans="4:4" x14ac:dyDescent="0.25">
      <c r="D58" s="16"/>
    </row>
    <row r="95" spans="4:6" hidden="1" x14ac:dyDescent="0.25">
      <c r="D95" t="s">
        <v>66</v>
      </c>
      <c r="E95" t="s">
        <v>67</v>
      </c>
      <c r="F95" t="s">
        <v>68</v>
      </c>
    </row>
    <row r="96" spans="4:6" hidden="1" x14ac:dyDescent="0.25">
      <c r="D96" t="s">
        <v>69</v>
      </c>
      <c r="E96" t="s">
        <v>70</v>
      </c>
      <c r="F96" t="s">
        <v>71</v>
      </c>
    </row>
    <row r="97" spans="4:6" hidden="1" x14ac:dyDescent="0.25">
      <c r="D97" t="s">
        <v>72</v>
      </c>
      <c r="E97" t="s">
        <v>73</v>
      </c>
      <c r="F97" t="s">
        <v>74</v>
      </c>
    </row>
    <row r="98" spans="4:6" hidden="1" x14ac:dyDescent="0.25">
      <c r="E98" t="s">
        <v>75</v>
      </c>
      <c r="F98" t="s">
        <v>76</v>
      </c>
    </row>
    <row r="99" spans="4:6" hidden="1" x14ac:dyDescent="0.25">
      <c r="E99" t="s">
        <v>77</v>
      </c>
      <c r="F99" t="s">
        <v>78</v>
      </c>
    </row>
    <row r="100" spans="4:6" hidden="1" x14ac:dyDescent="0.25">
      <c r="E100" t="s">
        <v>79</v>
      </c>
      <c r="F100" t="s">
        <v>80</v>
      </c>
    </row>
  </sheetData>
  <sheetProtection algorithmName="SHA-512" hashValue="FkECdfQHaMJvH/xhvJ/OgxRYcpL8J0+VQPHU6b/HhWu/Y94hL8ZQ1kM7A0O+V+YLE5kFDBTUZIzmRZXU//jZ5A==" saltValue="AM2fVCPES9xws8lft8X/AQ==" spinCount="100000" sheet="1" objects="1" scenarios="1"/>
  <mergeCells count="176">
    <mergeCell ref="F5:G5"/>
    <mergeCell ref="E27:G27"/>
    <mergeCell ref="H27:I27"/>
    <mergeCell ref="J27:K27"/>
    <mergeCell ref="L27:M27"/>
    <mergeCell ref="N27:O27"/>
    <mergeCell ref="B27:D27"/>
    <mergeCell ref="L5:L6"/>
    <mergeCell ref="I5:I6"/>
    <mergeCell ref="K5:K6"/>
    <mergeCell ref="M5:M6"/>
    <mergeCell ref="B17:D17"/>
    <mergeCell ref="E18:G18"/>
    <mergeCell ref="E19:G19"/>
    <mergeCell ref="H19:I19"/>
    <mergeCell ref="J19:K19"/>
    <mergeCell ref="D9:D11"/>
    <mergeCell ref="J5:J6"/>
    <mergeCell ref="L17:M17"/>
    <mergeCell ref="N17:O17"/>
    <mergeCell ref="N18:O18"/>
    <mergeCell ref="E6:E8"/>
    <mergeCell ref="E9:E11"/>
    <mergeCell ref="E12:E14"/>
    <mergeCell ref="L22:M22"/>
    <mergeCell ref="L18:M18"/>
    <mergeCell ref="L35:M35"/>
    <mergeCell ref="L28:M28"/>
    <mergeCell ref="L40:M40"/>
    <mergeCell ref="L23:M23"/>
    <mergeCell ref="L19:M19"/>
    <mergeCell ref="L31:M31"/>
    <mergeCell ref="L37:M37"/>
    <mergeCell ref="L20:M20"/>
    <mergeCell ref="L29:M29"/>
    <mergeCell ref="L25:M25"/>
    <mergeCell ref="L21:M21"/>
    <mergeCell ref="B21:D21"/>
    <mergeCell ref="B26:D26"/>
    <mergeCell ref="B41:D41"/>
    <mergeCell ref="E41:G41"/>
    <mergeCell ref="J41:K41"/>
    <mergeCell ref="H41:I41"/>
    <mergeCell ref="H39:I39"/>
    <mergeCell ref="J36:K36"/>
    <mergeCell ref="E38:G38"/>
    <mergeCell ref="E22:G22"/>
    <mergeCell ref="E40:G40"/>
    <mergeCell ref="H40:I40"/>
    <mergeCell ref="J40:K40"/>
    <mergeCell ref="H21:I21"/>
    <mergeCell ref="E21:G21"/>
    <mergeCell ref="J21:K21"/>
    <mergeCell ref="B24:D24"/>
    <mergeCell ref="N42:O42"/>
    <mergeCell ref="N25:O25"/>
    <mergeCell ref="N43:O43"/>
    <mergeCell ref="N32:O34"/>
    <mergeCell ref="N38:O38"/>
    <mergeCell ref="N39:O39"/>
    <mergeCell ref="L30:M30"/>
    <mergeCell ref="N41:O41"/>
    <mergeCell ref="L43:M43"/>
    <mergeCell ref="L32:M34"/>
    <mergeCell ref="L38:M38"/>
    <mergeCell ref="L39:M39"/>
    <mergeCell ref="L41:M41"/>
    <mergeCell ref="L42:M42"/>
    <mergeCell ref="N31:O31"/>
    <mergeCell ref="N37:O37"/>
    <mergeCell ref="J20:K20"/>
    <mergeCell ref="N40:O40"/>
    <mergeCell ref="N23:O23"/>
    <mergeCell ref="N19:O19"/>
    <mergeCell ref="E30:G30"/>
    <mergeCell ref="B29:D29"/>
    <mergeCell ref="B18:D18"/>
    <mergeCell ref="H20:I20"/>
    <mergeCell ref="H36:I36"/>
    <mergeCell ref="H38:I38"/>
    <mergeCell ref="H22:I22"/>
    <mergeCell ref="H18:I18"/>
    <mergeCell ref="B23:D23"/>
    <mergeCell ref="B19:D19"/>
    <mergeCell ref="L36:M36"/>
    <mergeCell ref="B20:D20"/>
    <mergeCell ref="B36:D36"/>
    <mergeCell ref="J22:K22"/>
    <mergeCell ref="B39:D39"/>
    <mergeCell ref="E36:G36"/>
    <mergeCell ref="B38:D38"/>
    <mergeCell ref="E39:G39"/>
    <mergeCell ref="L26:M26"/>
    <mergeCell ref="L24:M24"/>
    <mergeCell ref="N20:O20"/>
    <mergeCell ref="N36:O36"/>
    <mergeCell ref="N29:O29"/>
    <mergeCell ref="N30:O30"/>
    <mergeCell ref="N21:O21"/>
    <mergeCell ref="N26:O26"/>
    <mergeCell ref="N24:O24"/>
    <mergeCell ref="N22:O22"/>
    <mergeCell ref="N35:O35"/>
    <mergeCell ref="N28:O28"/>
    <mergeCell ref="A2:D3"/>
    <mergeCell ref="E2:J3"/>
    <mergeCell ref="H4:J4"/>
    <mergeCell ref="B37:D37"/>
    <mergeCell ref="H17:I17"/>
    <mergeCell ref="H37:I37"/>
    <mergeCell ref="E17:G17"/>
    <mergeCell ref="E37:G37"/>
    <mergeCell ref="B31:D31"/>
    <mergeCell ref="E31:G31"/>
    <mergeCell ref="J17:K17"/>
    <mergeCell ref="J37:K37"/>
    <mergeCell ref="A5:B5"/>
    <mergeCell ref="H31:I31"/>
    <mergeCell ref="J31:K31"/>
    <mergeCell ref="C6:C8"/>
    <mergeCell ref="C9:C11"/>
    <mergeCell ref="C12:C14"/>
    <mergeCell ref="D6:D8"/>
    <mergeCell ref="B30:D30"/>
    <mergeCell ref="A6:B8"/>
    <mergeCell ref="A9:B11"/>
    <mergeCell ref="A12:B14"/>
    <mergeCell ref="H5:H6"/>
    <mergeCell ref="E43:G43"/>
    <mergeCell ref="H43:I43"/>
    <mergeCell ref="J43:K43"/>
    <mergeCell ref="E26:G26"/>
    <mergeCell ref="H26:I26"/>
    <mergeCell ref="J26:K26"/>
    <mergeCell ref="E24:G24"/>
    <mergeCell ref="H24:I24"/>
    <mergeCell ref="J24:K24"/>
    <mergeCell ref="E42:G42"/>
    <mergeCell ref="H42:I42"/>
    <mergeCell ref="J42:K42"/>
    <mergeCell ref="H32:I32"/>
    <mergeCell ref="E32:G32"/>
    <mergeCell ref="E33:G33"/>
    <mergeCell ref="H33:I33"/>
    <mergeCell ref="E34:G34"/>
    <mergeCell ref="H34:I34"/>
    <mergeCell ref="J32:K34"/>
    <mergeCell ref="J39:K39"/>
    <mergeCell ref="E29:G29"/>
    <mergeCell ref="H29:I29"/>
    <mergeCell ref="J29:K29"/>
    <mergeCell ref="J38:K38"/>
    <mergeCell ref="B42:D42"/>
    <mergeCell ref="B25:D25"/>
    <mergeCell ref="E25:G25"/>
    <mergeCell ref="H25:I25"/>
    <mergeCell ref="J25:K25"/>
    <mergeCell ref="D12:D14"/>
    <mergeCell ref="E35:G35"/>
    <mergeCell ref="E20:G20"/>
    <mergeCell ref="B35:D35"/>
    <mergeCell ref="B28:D28"/>
    <mergeCell ref="B40:D40"/>
    <mergeCell ref="H35:I35"/>
    <mergeCell ref="J35:K35"/>
    <mergeCell ref="E28:G28"/>
    <mergeCell ref="H28:I28"/>
    <mergeCell ref="J28:K28"/>
    <mergeCell ref="E23:G23"/>
    <mergeCell ref="H23:I23"/>
    <mergeCell ref="J23:K23"/>
    <mergeCell ref="B22:D22"/>
    <mergeCell ref="B32:D32"/>
    <mergeCell ref="H30:I30"/>
    <mergeCell ref="J30:K30"/>
    <mergeCell ref="J18:K18"/>
  </mergeCells>
  <conditionalFormatting sqref="L39:L41 N39:N41 L18:L23 N18:N23 H18:H23 E18:F23 J18:J23 J29:J30 E29:F30 H29:H30 N29:N30 L29:L30 E39:J41 E43:F43 H43 J43 N43">
    <cfRule type="expression" dxfId="79" priority="39">
      <formula>IF(NOT(ISBLANK(E18)), TRUE)</formula>
    </cfRule>
  </conditionalFormatting>
  <conditionalFormatting sqref="J39:J41">
    <cfRule type="expression" dxfId="78" priority="28">
      <formula>IF(NOT(ISBLANK(J39)), TRUE)</formula>
    </cfRule>
  </conditionalFormatting>
  <conditionalFormatting sqref="N16:O16">
    <cfRule type="expression" dxfId="77" priority="15">
      <formula>IF(NOT(ISBLANK(N16)), TRUE)</formula>
    </cfRule>
  </conditionalFormatting>
  <conditionalFormatting sqref="L43">
    <cfRule type="expression" dxfId="76" priority="4">
      <formula>IF(NOT(ISBLANK(L43)), TRUE)</formula>
    </cfRule>
  </conditionalFormatting>
  <dataValidations count="36">
    <dataValidation type="list" allowBlank="1" showInputMessage="1" showErrorMessage="1" sqref="E9 E12 E6" xr:uid="{6C510787-79E0-4978-A5AB-8CF7CB295024}">
      <formula1>$D$95:$D$97</formula1>
    </dataValidation>
    <dataValidation type="whole" allowBlank="1" showInputMessage="1" showErrorMessage="1" sqref="I5:I7 I9:I10 I12:I13 K5:K7 K9:K10 K12:K13 M5:M7 M9:M10 M12:M13" xr:uid="{962643F9-A4E9-4F63-8995-E79EF97E62FF}">
      <formula1>0</formula1>
      <formula2>123456789101112</formula2>
    </dataValidation>
    <dataValidation type="decimal" allowBlank="1" showInputMessage="1" showErrorMessage="1" sqref="I8 I11 I14 K14 K11 K8 M8 M11 M14" xr:uid="{78C52951-0E35-489C-8515-04B8165214BF}">
      <formula1>0</formula1>
      <formula2>12345678910111200</formula2>
    </dataValidation>
    <dataValidation type="custom" allowBlank="1" showInputMessage="1" showErrorMessage="1" sqref="B18:D18" xr:uid="{F80450D7-BA77-4A06-9910-9EC3BE518BEA}">
      <formula1>"Value Based Purchasing:"</formula1>
    </dataValidation>
    <dataValidation type="custom" allowBlank="1" showInputMessage="1" showErrorMessage="1" sqref="B19:D19" xr:uid="{151A9716-0645-430C-9C84-3E9B5DC6DC2A}">
      <formula1>"Expanded Benefits - Medical and Long-Term Care:"</formula1>
    </dataValidation>
    <dataValidation type="custom" allowBlank="1" showInputMessage="1" showErrorMessage="1" sqref="B20:D20" xr:uid="{D5D8EB09-ADEB-420C-A263-B6D09064ADB4}">
      <formula1>"Birth Outcomes:"</formula1>
    </dataValidation>
    <dataValidation type="custom" allowBlank="1" showInputMessage="1" showErrorMessage="1" sqref="B21:D21" xr:uid="{0CA187FE-0A32-4BDA-9F0E-49C1D4471833}">
      <formula1>"Chronic Disease Management Program:"</formula1>
    </dataValidation>
    <dataValidation type="custom" allowBlank="1" showInputMessage="1" showErrorMessage="1" sqref="B22:D22" xr:uid="{37FF79C5-60CB-498F-B6D8-E3D7B49AA4E1}">
      <formula1>"HEDIS Measures:"</formula1>
    </dataValidation>
    <dataValidation type="custom" allowBlank="1" showInputMessage="1" showErrorMessage="1" sqref="B23:D23" xr:uid="{A4F53507-8A56-4C85-AF93-F966A92B8C3E}">
      <formula1>"Organizational Commitment to Quality:"</formula1>
    </dataValidation>
    <dataValidation type="custom" allowBlank="1" showInputMessage="1" showErrorMessage="1" sqref="B24:D24" xr:uid="{48670EB5-CC21-46E6-9537-A25D08B515C6}">
      <formula1>"Person-Centered Care and Patient Centered Medical Homes:"</formula1>
    </dataValidation>
    <dataValidation type="custom" allowBlank="1" showInputMessage="1" showErrorMessage="1" sqref="B25:D25" xr:uid="{0CD831EE-FCB5-49BC-8A1D-AA3DB62A44CA}">
      <formula1>"Behavioral Health/Primary Care Integration:"</formula1>
    </dataValidation>
    <dataValidation type="custom" allowBlank="1" showInputMessage="1" showErrorMessage="1" sqref="B26:D26" xr:uid="{8B5B94A7-4965-4692-962E-D051A1F14C2F}">
      <formula1>"Telemedicine:"</formula1>
    </dataValidation>
    <dataValidation type="custom" allowBlank="1" showInputMessage="1" showErrorMessage="1" sqref="B27:D27" xr:uid="{05DF6DF0-BAB2-432F-A491-64FCBF5503BC}">
      <formula1>"Evidence-Based Programs for Children with Intense Behaviors:"</formula1>
    </dataValidation>
    <dataValidation type="custom" allowBlank="1" showInputMessage="1" showErrorMessage="1" sqref="B28:D28" xr:uid="{B3306ED2-A79A-40F8-B0E3-F830B4B4D88E}">
      <formula1>"Essential Provider Networks:"</formula1>
    </dataValidation>
    <dataValidation type="custom" allowBlank="1" showInputMessage="1" showErrorMessage="1" sqref="B29:D29" xr:uid="{30CFC117-4D9F-4BEE-B0FE-8C142283219C}">
      <formula1>"Community Partnerships:"</formula1>
    </dataValidation>
    <dataValidation type="custom" allowBlank="1" showInputMessage="1" showErrorMessage="1" sqref="B30:D30" xr:uid="{55A864E2-4E18-40C5-AD7C-A6D80C83284D}">
      <formula1>"Expanded Benefits - Pathways to Prosperity:"</formula1>
    </dataValidation>
    <dataValidation type="custom" allowBlank="1" showInputMessage="1" showErrorMessage="1" sqref="B31:D31" xr:uid="{DFD803A9-74A8-4E50-9160-B5C6BCD4A9E4}">
      <formula1>"Managed Care Experience:"</formula1>
    </dataValidation>
    <dataValidation type="custom" allowBlank="1" showInputMessage="1" showErrorMessage="1" sqref="B32:D32" xr:uid="{31A2F737-11F5-4338-87AF-A5E3242FB714}">
      <formula1>"Compliance History:"</formula1>
    </dataValidation>
    <dataValidation type="custom" allowBlank="1" showInputMessage="1" showErrorMessage="1" sqref="D33" xr:uid="{6DD1839B-1DCC-4FA3-B082-A03986E7FE1D}">
      <formula1>"Compliance- Terminations:"</formula1>
    </dataValidation>
    <dataValidation type="custom" allowBlank="1" showInputMessage="1" showErrorMessage="1" sqref="D34" xr:uid="{49DE68EA-7339-4F49-BBDC-67C1C0AD8488}">
      <formula1>"Total Compliance Points"</formula1>
    </dataValidation>
    <dataValidation type="custom" allowBlank="1" showInputMessage="1" showErrorMessage="1" sqref="B35:D35" xr:uid="{0ED8E287-1436-4679-9D66-51F56CE2556A}">
      <formula1>"Florida Presence:"</formula1>
    </dataValidation>
    <dataValidation type="custom" allowBlank="1" showInputMessage="1" showErrorMessage="1" sqref="B36:D36" xr:uid="{BF289F63-C1F1-42DE-A2D3-AF945EB3E05F}">
      <formula1>"Managed Care Plan Accreditation:"</formula1>
    </dataValidation>
    <dataValidation type="custom" allowBlank="1" showInputMessage="1" showErrorMessage="1" sqref="B37:D37" xr:uid="{03F1D63E-CDE6-4967-953E-1CD94465D1C0}">
      <formula1>"Grievances:"</formula1>
    </dataValidation>
    <dataValidation type="custom" allowBlank="1" showInputMessage="1" showErrorMessage="1" sqref="B38:D38" xr:uid="{7CF24F3F-51E5-4447-8E5E-D641D5A28A9D}">
      <formula1>"Claims Processing and Payment:"</formula1>
    </dataValidation>
    <dataValidation type="custom" allowBlank="1" showInputMessage="1" showErrorMessage="1" sqref="B39:D39" xr:uid="{50CAE7DF-59C0-4245-A892-3F44139C8DB8}">
      <formula1>"Provider Engagement Model:"</formula1>
    </dataValidation>
    <dataValidation type="custom" allowBlank="1" showInputMessage="1" showErrorMessage="1" sqref="B40:D40" xr:uid="{5CCA3E51-764F-4CB5-B474-96192297ADAF}">
      <formula1>"Non-Emergency Transportation Performance:"</formula1>
    </dataValidation>
    <dataValidation type="custom" allowBlank="1" showInputMessage="1" showErrorMessage="1" sqref="B41:D41" xr:uid="{8F2F6AD1-9940-4DF0-BD7E-E8E405DC4030}">
      <formula1>"Consumer Assessment of Healthcare Providers and Systems Results:"</formula1>
    </dataValidation>
    <dataValidation type="custom" allowBlank="1" showInputMessage="1" showErrorMessage="1" sqref="B42:D42" xr:uid="{377CDB45-D600-42BA-A8AF-1D049C3AE922}">
      <formula1>"Management Experience and Retention:"</formula1>
    </dataValidation>
    <dataValidation type="list" allowBlank="1" showInputMessage="1" showErrorMessage="1" sqref="F6 F9 F12" xr:uid="{F2749CB8-C143-45C5-BC4D-F98237CD13DE}">
      <formula1>$E$95:$F$95</formula1>
    </dataValidation>
    <dataValidation type="list" allowBlank="1" showInputMessage="1" showErrorMessage="1" sqref="G6 G9 G12" xr:uid="{050CDC90-0251-47C5-A26F-28C1FBB63AD3}">
      <formula1>$E$96:$F$96</formula1>
    </dataValidation>
    <dataValidation type="list" allowBlank="1" showInputMessage="1" showErrorMessage="1" sqref="F7" xr:uid="{FB790C06-27FE-4B92-88D1-76ED0FAEE540}">
      <formula1>$E97:$F97</formula1>
    </dataValidation>
    <dataValidation type="list" allowBlank="1" showInputMessage="1" showErrorMessage="1" sqref="G7 G10 G13" xr:uid="{C965F8BC-807E-4316-A1D8-D63F121A5AA0}">
      <formula1>$E$98:$F$98</formula1>
    </dataValidation>
    <dataValidation type="list" allowBlank="1" showInputMessage="1" showErrorMessage="1" sqref="F8 F11 F14" xr:uid="{D1D19A9F-A1CD-4F90-B3CA-1E8CFB179E56}">
      <formula1>$E$99:$F$99</formula1>
    </dataValidation>
    <dataValidation type="list" allowBlank="1" showInputMessage="1" showErrorMessage="1" sqref="G8 G11 G14" xr:uid="{230EBDA1-C9C8-4759-A127-7A675B2D83BA}">
      <formula1>$E$100:$F$100</formula1>
    </dataValidation>
    <dataValidation type="list" allowBlank="1" showInputMessage="1" showErrorMessage="1" sqref="F10" xr:uid="{0F6CA2B5-0FBA-4806-A0C0-89BB8B080CAC}">
      <formula1>$E97:$F97</formula1>
    </dataValidation>
    <dataValidation type="list" allowBlank="1" showInputMessage="1" showErrorMessage="1" sqref="F13" xr:uid="{47E41B64-A9C8-4FA7-8F72-8DE96E811609}">
      <formula1>$E97:$F97</formula1>
    </dataValidation>
  </dataValidations>
  <hyperlinks>
    <hyperlink ref="B38:D38" location="'Processing and Payment'!A1" display="Claims Processing and Payment:" xr:uid="{82708241-18A6-4B4B-88B8-3FE2A8452E08}"/>
    <hyperlink ref="B29:D29" location="'Community Partnerships'!A1" display="Community Partnerships:" xr:uid="{61AD06BF-87C5-4F15-B76F-E41F70C91BDC}"/>
    <hyperlink ref="B36:D36" location="Accreditation!A1" display="Accreditation:" xr:uid="{5CBB29DC-AE39-458F-8DF3-CED0E319B5E1}"/>
    <hyperlink ref="B28" location="'Statewide Essential Providers'!A1" display="Statewide Essential Providers:" xr:uid="{3B349860-703A-40FE-A3E9-EFDBCFC34E80}"/>
    <hyperlink ref="B35" location="'Florida Presence'!A1" display="Florida Presence:" xr:uid="{5B57F439-758C-43BE-A5E3-D7C6057A10A1}"/>
    <hyperlink ref="B31:D31" location="'Managed Care Experience'!A1" display="Managed Care Experience:" xr:uid="{EE35ABCD-A3DA-48FE-A92C-1B2C62217795}"/>
    <hyperlink ref="B18" location="'Value Based Purchasing'!A1" display="Value Based Purchasing:" xr:uid="{8BE1F272-E4C3-4B9C-B10D-3C138B157068}"/>
    <hyperlink ref="B22" location="HEDIS!A1" display="HEDIS:" xr:uid="{997E01EF-6399-4A73-8744-5544DB65BB61}"/>
    <hyperlink ref="B39" location="'Provider Engagement'!A1" display="Provider Engagement:" xr:uid="{E297D999-EE25-4554-9B0B-BBF9A44C4E4E}"/>
    <hyperlink ref="B41" location="CAHPS!A1" display="CAHPS Score:" xr:uid="{B5FD535B-8284-44B0-9CCD-0C179358202A}"/>
    <hyperlink ref="B37:D37" location="Grievances!A1" display="Plan Grievance Score: " xr:uid="{426F3ACD-33E7-4D16-9B72-05DECC4C2334}"/>
    <hyperlink ref="B40" location="'Non-Emergency Transportation'!A1" display="Non-Emergency Transportation:" xr:uid="{C7372E3B-13E1-4476-BCCD-F47289781D21}"/>
    <hyperlink ref="B19" location="'Expanded Benefits'!A1" display="Expanded Benefits: " xr:uid="{1B0F17A5-94D9-4302-A35F-DCAA5E0524CB}"/>
    <hyperlink ref="B21" location="'Disease Management'!A1" display="Disease Management: " xr:uid="{84736AD7-9B05-4BE9-A2C5-71B3EE4BC22B}"/>
    <hyperlink ref="B26" location="Telemedicine!A1" display="Telemedicine: " xr:uid="{F898A3C5-1507-4640-87EB-FE9C1394B266}"/>
    <hyperlink ref="B24" location="'Person-Centered Care'!A1" display="Person-Centered Care:" xr:uid="{71F0AF5A-CBB7-40D2-9BA3-D26F282E5B51}"/>
    <hyperlink ref="B32" location="Compliance!A1" display="Compliance:" xr:uid="{FDA12364-FD68-47DD-A291-B8A07BB47727}"/>
    <hyperlink ref="B30" location="'Exp. Benefits-Pathways'!A1" display="Expanded Benefits - Pathways to Propserity" xr:uid="{19208841-10DA-4C7E-8E2D-903B2CC95017}"/>
    <hyperlink ref="B42:D42" location="'Mgmt Exp &amp; Retention'!A1" display="Management Experience and Retention:" xr:uid="{83ABD315-E75C-40B1-BA15-77E9B2BC32D9}"/>
    <hyperlink ref="B25:D25" location="'Behav Health-Prim Care Integ'!A1" display="Behavioral Health/Primary Care Integration:" xr:uid="{81CEC1D2-3292-494F-AE8E-4A3CC1E31752}"/>
    <hyperlink ref="B21:D21" location="'Chr Disease Management'!A1" display="Chronic Disease Management: " xr:uid="{E9203CD8-00C9-49B4-9845-356201BF3FA7}"/>
    <hyperlink ref="B23:D23" location="'Commitment to Quality'!A1" display="Organizational Commitment to Quality:" xr:uid="{250588C3-0BE0-465F-A2A6-C0F86C4FB59C}"/>
    <hyperlink ref="D33" location="'Compliance-Terminations'!A1" display="Compliance-Terminations:" xr:uid="{FE90BF96-DB36-4D8A-B34A-1F6BA21073C9}"/>
    <hyperlink ref="B28:D28" location="'Essential Providers'!A1" display=" Essential Providers:" xr:uid="{2EE06F2E-DFA0-4FD2-B9D5-ABCDCAF73BD3}"/>
    <hyperlink ref="B27:D27" location="'EBP Child Intense Behav'!A1" display="Evidence-Based Programs for Children with Intense Behaviors:" xr:uid="{8FA26169-4F5E-4E4A-A3FC-AEB7A9E4201A}"/>
    <hyperlink ref="B20:D20" location="'Birth Outcomes'!A1" display="Birth Outcomes:" xr:uid="{201D38D9-D5A6-41BB-B385-6884E2513F27}"/>
    <hyperlink ref="B40:D40" location="'Non-Emergency Transportation'!A1" display="Non-Emergency Transportation Performance:" xr:uid="{506AD0FF-ED32-498D-887C-D8AF56ACC75C}"/>
  </hyperlinks>
  <pageMargins left="0.7" right="0.7" top="0.75" bottom="0.75" header="0.3" footer="0.3"/>
  <pageSetup scale="37" fitToHeight="0" orientation="landscape" r:id="rId1"/>
  <headerFooter>
    <oddHeader>&amp;C&amp;"Arial,Bold"&amp;14EXHIBIT A-5-a-V3
SUBMISSION REQUIREMENTS AND EVALUATION RESPONSE TEMPLATE</oddHeader>
    <oddFooter>&amp;C&amp;"Arial,Bold"AHCA ITN 010-22/23, Attachment A, Exhibit A-5-a-V3, 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01658-F7EE-4426-B822-44AE2213775B}">
  <sheetPr codeName="Sheet23">
    <tabColor theme="5" tint="0.39997558519241921"/>
  </sheetPr>
  <dimension ref="A1:K4"/>
  <sheetViews>
    <sheetView zoomScaleNormal="100" workbookViewId="0"/>
  </sheetViews>
  <sheetFormatPr defaultRowHeight="15" x14ac:dyDescent="0.25"/>
  <cols>
    <col min="11" max="11" width="3.7109375" customWidth="1"/>
    <col min="12" max="12" width="15.7109375" customWidth="1"/>
    <col min="14" max="14" width="19.7109375" customWidth="1"/>
  </cols>
  <sheetData>
    <row r="1" spans="1:11" ht="23.25" x14ac:dyDescent="0.35">
      <c r="A1" s="691" t="s">
        <v>81</v>
      </c>
      <c r="B1" s="691"/>
      <c r="C1" s="691"/>
      <c r="D1" s="691"/>
      <c r="E1" s="691"/>
      <c r="F1" s="691"/>
      <c r="G1" s="691"/>
      <c r="H1" s="691"/>
      <c r="I1" s="691"/>
      <c r="J1" s="691"/>
      <c r="K1" s="691"/>
    </row>
    <row r="3" spans="1:11" x14ac:dyDescent="0.25">
      <c r="A3" s="1055" t="s">
        <v>82</v>
      </c>
      <c r="B3" s="1055"/>
      <c r="C3" s="1055"/>
      <c r="D3" s="1055"/>
    </row>
    <row r="4" spans="1:11" x14ac:dyDescent="0.25">
      <c r="A4" s="701"/>
      <c r="B4" s="701"/>
      <c r="C4" s="701"/>
    </row>
  </sheetData>
  <sheetProtection algorithmName="SHA-512" hashValue="S5XBXKFN6pBJu0M1IidFy82CCUFOISNmdUfKvi2awuAMJq+TPaDdJGvOBdWvVALxOv6homIYUWyR/27ECck+AA==" saltValue="jOcKHpzrnJolRC5qJUZErA==" spinCount="100000" sheet="1" objects="1" scenarios="1"/>
  <mergeCells count="1">
    <mergeCell ref="A3:D3"/>
  </mergeCells>
  <hyperlinks>
    <hyperlink ref="A3:C4" location="'Respondent Information'!A1" display="Back to Respondent Information" xr:uid="{C935647F-572F-408D-8A1E-40341FA13F21}"/>
  </hyperlinks>
  <pageMargins left="0.7" right="0.7" top="0.75" bottom="0.75" header="0.3" footer="0.3"/>
  <pageSetup orientation="portrait" r:id="rId1"/>
  <headerFooter>
    <oddHeader>&amp;C&amp;"Arial,Bold"&amp;14EXHIBIT A-5-a-V3
SUBMISSION REQUIREMENTS AND EVALUATION RESPONSE TEMPLATE</oddHeader>
    <oddFooter>&amp;C&amp;"Arial,Bold"AHCA ITN 010-22/23, Attachment A, Exhibit A-5-a-V3, 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0DC4B-EC6C-4AA5-9A15-B71492E521BC}">
  <sheetPr codeName="Sheet24">
    <tabColor theme="5" tint="0.39997558519241921"/>
    <pageSetUpPr fitToPage="1"/>
  </sheetPr>
  <dimension ref="A1:X577"/>
  <sheetViews>
    <sheetView zoomScaleNormal="100" workbookViewId="0">
      <pane ySplit="10" topLeftCell="A11" activePane="bottomLeft" state="frozen"/>
      <selection activeCell="P23" sqref="P23"/>
      <selection pane="bottomLeft"/>
    </sheetView>
  </sheetViews>
  <sheetFormatPr defaultColWidth="41.28515625" defaultRowHeight="15" x14ac:dyDescent="0.25"/>
  <cols>
    <col min="1" max="1" width="50" bestFit="1" customWidth="1"/>
    <col min="2" max="2" width="42.42578125" customWidth="1"/>
    <col min="3" max="3" width="20.5703125" customWidth="1"/>
    <col min="4" max="4" width="19.85546875" customWidth="1"/>
    <col min="5" max="5" width="22" customWidth="1"/>
    <col min="6" max="6" width="26.85546875" bestFit="1" customWidth="1"/>
    <col min="7" max="7" width="36" customWidth="1"/>
    <col min="8" max="8" width="35.5703125" style="17" customWidth="1"/>
    <col min="9" max="9" width="21.28515625" customWidth="1"/>
    <col min="10" max="10" width="17.7109375" customWidth="1"/>
    <col min="11" max="11" width="24.42578125" style="315" bestFit="1" customWidth="1"/>
    <col min="12" max="12" width="38.28515625" customWidth="1"/>
    <col min="13" max="13" width="25.5703125" customWidth="1"/>
    <col min="14" max="14" width="29.28515625" customWidth="1"/>
    <col min="15" max="15" width="27.28515625" customWidth="1"/>
    <col min="16" max="16" width="26.28515625" customWidth="1"/>
    <col min="17" max="17" width="26.7109375" customWidth="1"/>
    <col min="18" max="18" width="26.28515625" customWidth="1"/>
    <col min="19" max="19" width="36.28515625" customWidth="1"/>
    <col min="20" max="20" width="36.42578125" customWidth="1"/>
    <col min="21" max="21" width="32.85546875" customWidth="1"/>
    <col min="22" max="22" width="32.28515625" customWidth="1"/>
    <col min="23" max="23" width="41.28515625" customWidth="1"/>
    <col min="24" max="24" width="41.28515625" hidden="1" customWidth="1"/>
    <col min="25" max="25" width="41.28515625" customWidth="1"/>
  </cols>
  <sheetData>
    <row r="1" spans="1:24" ht="23.25" x14ac:dyDescent="0.35">
      <c r="A1" s="691" t="s">
        <v>83</v>
      </c>
      <c r="C1" s="1055" t="s">
        <v>82</v>
      </c>
      <c r="D1" s="1055"/>
      <c r="E1" s="1055"/>
      <c r="F1" s="643"/>
    </row>
    <row r="2" spans="1:24" ht="28.5" x14ac:dyDescent="0.45">
      <c r="A2" s="14"/>
      <c r="D2" s="643"/>
      <c r="E2" s="643"/>
      <c r="F2" s="722"/>
    </row>
    <row r="3" spans="1:24" x14ac:dyDescent="0.25">
      <c r="A3" s="692" t="s">
        <v>84</v>
      </c>
      <c r="B3" s="692" t="s">
        <v>85</v>
      </c>
      <c r="C3" s="1055" t="s">
        <v>86</v>
      </c>
      <c r="D3" s="1055"/>
      <c r="E3" s="1055"/>
      <c r="F3" s="722" t="s">
        <v>1178</v>
      </c>
    </row>
    <row r="4" spans="1:24" x14ac:dyDescent="0.25">
      <c r="A4" s="693" t="s">
        <v>87</v>
      </c>
      <c r="B4" s="179">
        <v>120</v>
      </c>
      <c r="F4" s="643" t="s">
        <v>1174</v>
      </c>
    </row>
    <row r="5" spans="1:24" x14ac:dyDescent="0.25">
      <c r="A5" s="693" t="s">
        <v>88</v>
      </c>
      <c r="B5" s="179">
        <f>H539</f>
        <v>0</v>
      </c>
      <c r="F5" s="643" t="s">
        <v>1175</v>
      </c>
    </row>
    <row r="6" spans="1:24" x14ac:dyDescent="0.25">
      <c r="A6" s="413" t="s">
        <v>89</v>
      </c>
      <c r="B6" s="420">
        <f>B5/B4</f>
        <v>0</v>
      </c>
      <c r="F6" s="643" t="s">
        <v>1176</v>
      </c>
    </row>
    <row r="7" spans="1:24" x14ac:dyDescent="0.25">
      <c r="A7" s="413" t="s">
        <v>90</v>
      </c>
      <c r="B7" s="414">
        <v>370</v>
      </c>
      <c r="F7" s="643" t="s">
        <v>1177</v>
      </c>
    </row>
    <row r="8" spans="1:24" ht="19.5" customHeight="1" x14ac:dyDescent="0.35">
      <c r="A8" s="413" t="s">
        <v>91</v>
      </c>
      <c r="B8" s="423">
        <f>B6*B7</f>
        <v>0</v>
      </c>
      <c r="C8" s="415"/>
      <c r="D8" s="415"/>
      <c r="E8" s="415"/>
    </row>
    <row r="9" spans="1:24" x14ac:dyDescent="0.25">
      <c r="A9" s="306"/>
      <c r="B9" s="306"/>
      <c r="C9" s="304"/>
      <c r="D9" s="305"/>
      <c r="E9" s="305"/>
    </row>
    <row r="10" spans="1:24" s="291" customFormat="1" ht="45" x14ac:dyDescent="0.25">
      <c r="A10" s="647" t="s">
        <v>1272</v>
      </c>
      <c r="B10" s="647" t="s">
        <v>18</v>
      </c>
      <c r="C10" s="647" t="s">
        <v>20</v>
      </c>
      <c r="D10" s="647" t="s">
        <v>1273</v>
      </c>
      <c r="E10" s="178" t="s">
        <v>92</v>
      </c>
      <c r="F10" s="647" t="s">
        <v>93</v>
      </c>
      <c r="G10" s="647" t="s">
        <v>94</v>
      </c>
      <c r="H10" s="647" t="s">
        <v>95</v>
      </c>
      <c r="I10" s="647" t="s">
        <v>1172</v>
      </c>
      <c r="J10" s="647" t="s">
        <v>96</v>
      </c>
      <c r="K10" s="649" t="s">
        <v>1261</v>
      </c>
      <c r="L10" s="647" t="s">
        <v>97</v>
      </c>
      <c r="M10" s="647" t="s">
        <v>1262</v>
      </c>
      <c r="N10" s="310" t="s">
        <v>98</v>
      </c>
      <c r="O10" s="647" t="s">
        <v>99</v>
      </c>
      <c r="P10" s="647" t="s">
        <v>1169</v>
      </c>
      <c r="Q10" s="647" t="s">
        <v>1170</v>
      </c>
      <c r="R10" s="647" t="s">
        <v>1171</v>
      </c>
      <c r="S10" s="647" t="s">
        <v>100</v>
      </c>
      <c r="T10" s="647" t="s">
        <v>1274</v>
      </c>
      <c r="U10" s="647" t="s">
        <v>101</v>
      </c>
      <c r="V10" s="647" t="s">
        <v>102</v>
      </c>
    </row>
    <row r="11" spans="1:24" x14ac:dyDescent="0.25">
      <c r="A11" s="772"/>
      <c r="B11" s="767" t="str">
        <f t="shared" ref="B11:B74" si="0">IF(ISBLANK(A11), " ", _xlfn.XLOOKUP(A11,$A$552:$C$552,$A$553:$C$553))</f>
        <v xml:space="preserve"> </v>
      </c>
      <c r="C11" s="768" t="str">
        <f t="shared" ref="C11:C74" si="1">IF(ISBLANK(A11), " ", _xlfn.XLOOKUP(A11,$A$552:$C$552,$A$554:$C$554))</f>
        <v xml:space="preserve"> </v>
      </c>
      <c r="D11" s="486"/>
      <c r="E11" s="308" cm="1">
        <f t="array" ref="E11">_xlfn.XLOOKUP(A11&amp;D11, $A$562:$J$562&amp;$A$563:$J$563, $A$564:$J$564, " ")</f>
        <v>0</v>
      </c>
      <c r="F11" s="872" cm="1">
        <f t="array" ref="F11">_xlfn.XLOOKUP(A11&amp;D11, $A$562:$J$562&amp;$A$563:$J$563, $A$565:$J$565, "")</f>
        <v>0</v>
      </c>
      <c r="G11" s="510"/>
      <c r="H11" s="840"/>
      <c r="I11" s="510"/>
      <c r="J11" s="510"/>
      <c r="K11" s="511"/>
      <c r="L11" s="510"/>
      <c r="M11" s="580"/>
      <c r="N11" s="580"/>
      <c r="O11" s="580"/>
      <c r="P11" s="910"/>
      <c r="Q11" s="910"/>
      <c r="R11" s="910"/>
      <c r="S11" s="910"/>
      <c r="T11" s="910"/>
      <c r="U11" s="910"/>
      <c r="V11" s="910"/>
    </row>
    <row r="12" spans="1:24" x14ac:dyDescent="0.25">
      <c r="A12" s="772"/>
      <c r="B12" s="767" t="str">
        <f t="shared" si="0"/>
        <v xml:space="preserve"> </v>
      </c>
      <c r="C12" s="768" t="str">
        <f t="shared" si="1"/>
        <v xml:space="preserve"> </v>
      </c>
      <c r="D12" s="486"/>
      <c r="E12" s="308" cm="1">
        <f t="array" ref="E12">_xlfn.XLOOKUP(A12&amp;D12, $A$562:$J$562&amp;$A$563:$J$563, $A$564:$J$564, " ")</f>
        <v>0</v>
      </c>
      <c r="F12" s="872" cm="1">
        <f t="array" ref="F12">_xlfn.XLOOKUP(A12&amp;D12, $A$562:$J$562&amp;$A$563:$J$563, $A$565:$J$565, "")</f>
        <v>0</v>
      </c>
      <c r="G12" s="510"/>
      <c r="H12" s="840"/>
      <c r="I12" s="510"/>
      <c r="J12" s="510"/>
      <c r="K12" s="511"/>
      <c r="L12" s="510"/>
      <c r="M12" s="580"/>
      <c r="N12" s="580"/>
      <c r="O12" s="580"/>
      <c r="P12" s="910"/>
      <c r="Q12" s="910"/>
      <c r="R12" s="910"/>
      <c r="S12" s="910"/>
      <c r="T12" s="910"/>
      <c r="U12" s="910"/>
      <c r="V12" s="910"/>
      <c r="X12" s="596" t="s">
        <v>105</v>
      </c>
    </row>
    <row r="13" spans="1:24" x14ac:dyDescent="0.25">
      <c r="A13" s="772"/>
      <c r="B13" s="767" t="str">
        <f t="shared" si="0"/>
        <v xml:space="preserve"> </v>
      </c>
      <c r="C13" s="768" t="str">
        <f t="shared" si="1"/>
        <v xml:space="preserve"> </v>
      </c>
      <c r="D13" s="486"/>
      <c r="E13" s="308" cm="1">
        <f t="array" ref="E13">_xlfn.XLOOKUP(A13&amp;D13, $A$562:$J$562&amp;$A$563:$J$563, $A$564:$J$564, " ")</f>
        <v>0</v>
      </c>
      <c r="F13" s="872" cm="1">
        <f t="array" ref="F13">_xlfn.XLOOKUP(A13&amp;D13, $A$562:$J$562&amp;$A$563:$J$563, $A$565:$J$565, " ")</f>
        <v>0</v>
      </c>
      <c r="G13" s="510"/>
      <c r="H13" s="840"/>
      <c r="I13" s="510"/>
      <c r="J13" s="510"/>
      <c r="K13" s="511"/>
      <c r="L13" s="510"/>
      <c r="M13" s="580"/>
      <c r="N13" s="580"/>
      <c r="O13" s="580"/>
      <c r="P13" s="910"/>
      <c r="Q13" s="910"/>
      <c r="R13" s="910"/>
      <c r="S13" s="910"/>
      <c r="T13" s="910"/>
      <c r="U13" s="910"/>
      <c r="V13" s="910"/>
      <c r="X13" s="596" t="s">
        <v>106</v>
      </c>
    </row>
    <row r="14" spans="1:24" x14ac:dyDescent="0.25">
      <c r="A14" s="772"/>
      <c r="B14" s="767" t="str">
        <f t="shared" si="0"/>
        <v xml:space="preserve"> </v>
      </c>
      <c r="C14" s="768" t="str">
        <f t="shared" si="1"/>
        <v xml:space="preserve"> </v>
      </c>
      <c r="D14" s="486"/>
      <c r="E14" s="308" cm="1">
        <f t="array" ref="E14">_xlfn.XLOOKUP(A14&amp;D14, $A$562:$J$562&amp;$A$563:$J$563, $A$564:$J$564, " ")</f>
        <v>0</v>
      </c>
      <c r="F14" s="872" cm="1">
        <f t="array" ref="F14">_xlfn.XLOOKUP(A14&amp;D14, $A$562:$J$562&amp;$A$563:$J$563, $A$565:$J$565, " ")</f>
        <v>0</v>
      </c>
      <c r="G14" s="510"/>
      <c r="H14" s="840"/>
      <c r="I14" s="510"/>
      <c r="J14" s="510"/>
      <c r="K14" s="511"/>
      <c r="L14" s="510"/>
      <c r="M14" s="580"/>
      <c r="N14" s="580"/>
      <c r="O14" s="580"/>
      <c r="P14" s="910"/>
      <c r="Q14" s="910"/>
      <c r="R14" s="910"/>
      <c r="S14" s="910"/>
      <c r="T14" s="910"/>
      <c r="U14" s="910"/>
      <c r="V14" s="910"/>
      <c r="X14" s="596" t="s">
        <v>103</v>
      </c>
    </row>
    <row r="15" spans="1:24" x14ac:dyDescent="0.25">
      <c r="A15" s="772"/>
      <c r="B15" s="767" t="str">
        <f t="shared" si="0"/>
        <v xml:space="preserve"> </v>
      </c>
      <c r="C15" s="768" t="str">
        <f t="shared" si="1"/>
        <v xml:space="preserve"> </v>
      </c>
      <c r="D15" s="486"/>
      <c r="E15" s="308" cm="1">
        <f t="array" ref="E15">_xlfn.XLOOKUP(A15&amp;D15, $A$562:$J$562&amp;$A$563:$J$563, $A$564:$J$564, " ")</f>
        <v>0</v>
      </c>
      <c r="F15" s="872" cm="1">
        <f t="array" ref="F15">_xlfn.XLOOKUP(A15&amp;D15, $A$562:$J$562&amp;$A$563:$J$563, $A$565:$J$565, " ")</f>
        <v>0</v>
      </c>
      <c r="G15" s="510"/>
      <c r="H15" s="840"/>
      <c r="I15" s="510"/>
      <c r="J15" s="510"/>
      <c r="K15" s="511"/>
      <c r="L15" s="510"/>
      <c r="M15" s="580"/>
      <c r="N15" s="580"/>
      <c r="O15" s="580"/>
      <c r="P15" s="910"/>
      <c r="Q15" s="910"/>
      <c r="R15" s="910"/>
      <c r="S15" s="910"/>
      <c r="T15" s="910"/>
      <c r="U15" s="910"/>
      <c r="V15" s="910"/>
      <c r="X15" s="596" t="s">
        <v>107</v>
      </c>
    </row>
    <row r="16" spans="1:24" x14ac:dyDescent="0.25">
      <c r="A16" s="772"/>
      <c r="B16" s="767" t="str">
        <f t="shared" si="0"/>
        <v xml:space="preserve"> </v>
      </c>
      <c r="C16" s="768" t="str">
        <f t="shared" si="1"/>
        <v xml:space="preserve"> </v>
      </c>
      <c r="D16" s="486"/>
      <c r="E16" s="308" cm="1">
        <f t="array" ref="E16">_xlfn.XLOOKUP(A16&amp;D16, $A$562:$J$562&amp;$A$563:$J$563, $A$564:$J$564, " ")</f>
        <v>0</v>
      </c>
      <c r="F16" s="872" cm="1">
        <f t="array" ref="F16">_xlfn.XLOOKUP(A16&amp;D16, $A$562:$J$562&amp;$A$563:$J$563, $A$565:$J$565, " ")</f>
        <v>0</v>
      </c>
      <c r="G16" s="510"/>
      <c r="H16" s="840"/>
      <c r="I16" s="510"/>
      <c r="J16" s="510"/>
      <c r="K16" s="511"/>
      <c r="L16" s="510"/>
      <c r="M16" s="580"/>
      <c r="N16" s="580"/>
      <c r="O16" s="580"/>
      <c r="P16" s="910"/>
      <c r="Q16" s="910"/>
      <c r="R16" s="910"/>
      <c r="S16" s="910"/>
      <c r="T16" s="910"/>
      <c r="U16" s="910"/>
      <c r="V16" s="910"/>
      <c r="X16" s="596" t="s">
        <v>108</v>
      </c>
    </row>
    <row r="17" spans="1:24" x14ac:dyDescent="0.25">
      <c r="A17" s="772"/>
      <c r="B17" s="767" t="str">
        <f t="shared" si="0"/>
        <v xml:space="preserve"> </v>
      </c>
      <c r="C17" s="768" t="str">
        <f t="shared" si="1"/>
        <v xml:space="preserve"> </v>
      </c>
      <c r="D17" s="486"/>
      <c r="E17" s="308" cm="1">
        <f t="array" ref="E17">_xlfn.XLOOKUP(A17&amp;D17, $A$562:$J$562&amp;$A$563:$J$563, $A$564:$J$564, " ")</f>
        <v>0</v>
      </c>
      <c r="F17" s="872" cm="1">
        <f t="array" ref="F17">_xlfn.XLOOKUP(A17&amp;D17, $A$562:$J$562&amp;$A$563:$J$563, $A$565:$J$565, " ")</f>
        <v>0</v>
      </c>
      <c r="G17" s="510"/>
      <c r="H17" s="840"/>
      <c r="I17" s="510"/>
      <c r="J17" s="510"/>
      <c r="K17" s="511"/>
      <c r="L17" s="510"/>
      <c r="M17" s="580"/>
      <c r="N17" s="580"/>
      <c r="O17" s="580"/>
      <c r="P17" s="910"/>
      <c r="Q17" s="910"/>
      <c r="R17" s="910"/>
      <c r="S17" s="910"/>
      <c r="T17" s="910"/>
      <c r="U17" s="910"/>
      <c r="V17" s="910"/>
      <c r="X17" s="596" t="s">
        <v>109</v>
      </c>
    </row>
    <row r="18" spans="1:24" x14ac:dyDescent="0.25">
      <c r="A18" s="772"/>
      <c r="B18" s="767" t="str">
        <f t="shared" si="0"/>
        <v xml:space="preserve"> </v>
      </c>
      <c r="C18" s="768" t="str">
        <f t="shared" si="1"/>
        <v xml:space="preserve"> </v>
      </c>
      <c r="D18" s="486"/>
      <c r="E18" s="308" cm="1">
        <f t="array" ref="E18">_xlfn.XLOOKUP(A18&amp;D18, $A$562:$J$562&amp;$A$563:$J$563, $A$564:$J$564, " ")</f>
        <v>0</v>
      </c>
      <c r="F18" s="872" cm="1">
        <f t="array" ref="F18">_xlfn.XLOOKUP(A18&amp;D18, $A$562:$J$562&amp;$A$563:$J$563, $A$565:$J$565, " ")</f>
        <v>0</v>
      </c>
      <c r="G18" s="510"/>
      <c r="H18" s="840"/>
      <c r="I18" s="510"/>
      <c r="J18" s="510"/>
      <c r="K18" s="511"/>
      <c r="L18" s="510"/>
      <c r="M18" s="580"/>
      <c r="N18" s="580"/>
      <c r="O18" s="580"/>
      <c r="P18" s="910"/>
      <c r="Q18" s="910"/>
      <c r="R18" s="910"/>
      <c r="S18" s="910"/>
      <c r="T18" s="910"/>
      <c r="U18" s="910"/>
      <c r="V18" s="910"/>
      <c r="X18" s="596" t="s">
        <v>110</v>
      </c>
    </row>
    <row r="19" spans="1:24" x14ac:dyDescent="0.25">
      <c r="A19" s="772"/>
      <c r="B19" s="767" t="str">
        <f t="shared" si="0"/>
        <v xml:space="preserve"> </v>
      </c>
      <c r="C19" s="768" t="str">
        <f t="shared" si="1"/>
        <v xml:space="preserve"> </v>
      </c>
      <c r="D19" s="486"/>
      <c r="E19" s="308" cm="1">
        <f t="array" ref="E19">_xlfn.XLOOKUP(A19&amp;D19, $A$562:$J$562&amp;$A$563:$J$563, $A$564:$J$564, " ")</f>
        <v>0</v>
      </c>
      <c r="F19" s="872" cm="1">
        <f t="array" ref="F19">_xlfn.XLOOKUP(A19&amp;D19, $A$562:$J$562&amp;$A$563:$J$563, $A$565:$J$565, " ")</f>
        <v>0</v>
      </c>
      <c r="G19" s="510"/>
      <c r="H19" s="840"/>
      <c r="I19" s="510"/>
      <c r="J19" s="510"/>
      <c r="K19" s="511"/>
      <c r="L19" s="510"/>
      <c r="M19" s="580"/>
      <c r="N19" s="580"/>
      <c r="O19" s="580"/>
      <c r="P19" s="910"/>
      <c r="Q19" s="910"/>
      <c r="R19" s="910"/>
      <c r="S19" s="910"/>
      <c r="T19" s="910"/>
      <c r="U19" s="910"/>
      <c r="V19" s="910"/>
      <c r="X19" s="596" t="s">
        <v>111</v>
      </c>
    </row>
    <row r="20" spans="1:24" x14ac:dyDescent="0.25">
      <c r="A20" s="772"/>
      <c r="B20" s="767" t="str">
        <f t="shared" si="0"/>
        <v xml:space="preserve"> </v>
      </c>
      <c r="C20" s="768" t="str">
        <f t="shared" si="1"/>
        <v xml:space="preserve"> </v>
      </c>
      <c r="D20" s="486"/>
      <c r="E20" s="308" cm="1">
        <f t="array" ref="E20">_xlfn.XLOOKUP(A20&amp;D20, $A$562:$J$562&amp;$A$563:$J$563, $A$564:$J$564, " ")</f>
        <v>0</v>
      </c>
      <c r="F20" s="872" cm="1">
        <f t="array" ref="F20">_xlfn.XLOOKUP(A20&amp;D20, $A$562:$J$562&amp;$A$563:$J$563, $A$565:$J$565, " ")</f>
        <v>0</v>
      </c>
      <c r="G20" s="510"/>
      <c r="H20" s="840"/>
      <c r="I20" s="510"/>
      <c r="J20" s="510"/>
      <c r="K20" s="511"/>
      <c r="L20" s="510"/>
      <c r="M20" s="580"/>
      <c r="N20" s="580"/>
      <c r="O20" s="580"/>
      <c r="P20" s="910"/>
      <c r="Q20" s="910"/>
      <c r="R20" s="910"/>
      <c r="S20" s="910"/>
      <c r="T20" s="910"/>
      <c r="U20" s="910"/>
      <c r="V20" s="910"/>
    </row>
    <row r="21" spans="1:24" x14ac:dyDescent="0.25">
      <c r="A21" s="772"/>
      <c r="B21" s="767" t="str">
        <f t="shared" si="0"/>
        <v xml:space="preserve"> </v>
      </c>
      <c r="C21" s="768" t="str">
        <f t="shared" si="1"/>
        <v xml:space="preserve"> </v>
      </c>
      <c r="D21" s="486"/>
      <c r="E21" s="308" cm="1">
        <f t="array" ref="E21">_xlfn.XLOOKUP(A21&amp;D21, $A$562:$J$562&amp;$A$563:$J$563, $A$564:$J$564, " ")</f>
        <v>0</v>
      </c>
      <c r="F21" s="872" cm="1">
        <f t="array" ref="F21">_xlfn.XLOOKUP(A21&amp;D21, $A$562:$J$562&amp;$A$563:$J$563, $A$565:$J$565, " ")</f>
        <v>0</v>
      </c>
      <c r="G21" s="510"/>
      <c r="H21" s="840"/>
      <c r="I21" s="510"/>
      <c r="J21" s="510"/>
      <c r="K21" s="511"/>
      <c r="L21" s="510"/>
      <c r="M21" s="580"/>
      <c r="N21" s="580"/>
      <c r="O21" s="580"/>
      <c r="P21" s="910"/>
      <c r="Q21" s="910"/>
      <c r="R21" s="910"/>
      <c r="S21" s="910"/>
      <c r="T21" s="910"/>
      <c r="U21" s="910"/>
      <c r="V21" s="910"/>
    </row>
    <row r="22" spans="1:24" x14ac:dyDescent="0.25">
      <c r="A22" s="772"/>
      <c r="B22" s="767" t="str">
        <f t="shared" si="0"/>
        <v xml:space="preserve"> </v>
      </c>
      <c r="C22" s="768" t="str">
        <f t="shared" si="1"/>
        <v xml:space="preserve"> </v>
      </c>
      <c r="D22" s="486"/>
      <c r="E22" s="308" cm="1">
        <f t="array" ref="E22">_xlfn.XLOOKUP(A22&amp;D22, $A$562:$J$562&amp;$A$563:$J$563, $A$564:$J$564, " ")</f>
        <v>0</v>
      </c>
      <c r="F22" s="872" cm="1">
        <f t="array" ref="F22">_xlfn.XLOOKUP(A22&amp;D22, $A$562:$J$562&amp;$A$563:$J$563, $A$565:$J$565, " ")</f>
        <v>0</v>
      </c>
      <c r="G22" s="510"/>
      <c r="H22" s="840"/>
      <c r="I22" s="510"/>
      <c r="J22" s="510"/>
      <c r="K22" s="511"/>
      <c r="L22" s="510"/>
      <c r="M22" s="580"/>
      <c r="N22" s="580"/>
      <c r="O22" s="580"/>
      <c r="P22" s="910"/>
      <c r="Q22" s="910"/>
      <c r="R22" s="910"/>
      <c r="S22" s="910"/>
      <c r="T22" s="910"/>
      <c r="U22" s="910"/>
      <c r="V22" s="910"/>
      <c r="X22" s="596" t="s">
        <v>112</v>
      </c>
    </row>
    <row r="23" spans="1:24" x14ac:dyDescent="0.25">
      <c r="A23" s="772"/>
      <c r="B23" s="767" t="str">
        <f t="shared" si="0"/>
        <v xml:space="preserve"> </v>
      </c>
      <c r="C23" s="768" t="str">
        <f t="shared" si="1"/>
        <v xml:space="preserve"> </v>
      </c>
      <c r="D23" s="486"/>
      <c r="E23" s="308" cm="1">
        <f t="array" ref="E23">_xlfn.XLOOKUP(A23&amp;D23, $A$562:$J$562&amp;$A$563:$J$563, $A$564:$J$564, " ")</f>
        <v>0</v>
      </c>
      <c r="F23" s="872" cm="1">
        <f t="array" ref="F23">_xlfn.XLOOKUP(A23&amp;D23, $A$562:$J$562&amp;$A$563:$J$563, $A$565:$J$565, " ")</f>
        <v>0</v>
      </c>
      <c r="G23" s="510"/>
      <c r="H23" s="840"/>
      <c r="I23" s="510"/>
      <c r="J23" s="510"/>
      <c r="K23" s="511"/>
      <c r="L23" s="510"/>
      <c r="M23" s="580"/>
      <c r="N23" s="580"/>
      <c r="O23" s="580"/>
      <c r="P23" s="910"/>
      <c r="Q23" s="910"/>
      <c r="R23" s="910"/>
      <c r="S23" s="910"/>
      <c r="T23" s="910"/>
      <c r="U23" s="910"/>
      <c r="V23" s="910"/>
      <c r="X23" s="596" t="s">
        <v>113</v>
      </c>
    </row>
    <row r="24" spans="1:24" x14ac:dyDescent="0.25">
      <c r="A24" s="772"/>
      <c r="B24" s="767" t="str">
        <f t="shared" si="0"/>
        <v xml:space="preserve"> </v>
      </c>
      <c r="C24" s="768" t="str">
        <f t="shared" si="1"/>
        <v xml:space="preserve"> </v>
      </c>
      <c r="D24" s="486"/>
      <c r="E24" s="308" cm="1">
        <f t="array" ref="E24">_xlfn.XLOOKUP(A24&amp;D24, $A$562:$J$562&amp;$A$563:$J$563, $A$564:$J$564, " ")</f>
        <v>0</v>
      </c>
      <c r="F24" s="872" cm="1">
        <f t="array" ref="F24">_xlfn.XLOOKUP(A24&amp;D24, $A$562:$J$562&amp;$A$563:$J$563, $A$565:$J$565, " ")</f>
        <v>0</v>
      </c>
      <c r="G24" s="510"/>
      <c r="H24" s="840"/>
      <c r="I24" s="510"/>
      <c r="J24" s="510"/>
      <c r="K24" s="511"/>
      <c r="L24" s="510"/>
      <c r="M24" s="580"/>
      <c r="N24" s="580"/>
      <c r="O24" s="580"/>
      <c r="P24" s="910"/>
      <c r="Q24" s="910"/>
      <c r="R24" s="910"/>
      <c r="S24" s="910"/>
      <c r="T24" s="910"/>
      <c r="U24" s="910"/>
      <c r="V24" s="910"/>
      <c r="X24" s="596" t="s">
        <v>1167</v>
      </c>
    </row>
    <row r="25" spans="1:24" x14ac:dyDescent="0.25">
      <c r="A25" s="772"/>
      <c r="B25" s="767" t="str">
        <f t="shared" si="0"/>
        <v xml:space="preserve"> </v>
      </c>
      <c r="C25" s="768" t="str">
        <f t="shared" si="1"/>
        <v xml:space="preserve"> </v>
      </c>
      <c r="D25" s="486"/>
      <c r="E25" s="308" cm="1">
        <f t="array" ref="E25">_xlfn.XLOOKUP(A25&amp;D25, $A$562:$J$562&amp;$A$563:$J$563, $A$564:$J$564, " ")</f>
        <v>0</v>
      </c>
      <c r="F25" s="872" cm="1">
        <f t="array" ref="F25">_xlfn.XLOOKUP(A25&amp;D25, $A$562:$J$562&amp;$A$563:$J$563, $A$565:$J$565, " ")</f>
        <v>0</v>
      </c>
      <c r="G25" s="510"/>
      <c r="H25" s="840"/>
      <c r="I25" s="510"/>
      <c r="J25" s="510"/>
      <c r="K25" s="511"/>
      <c r="L25" s="510"/>
      <c r="M25" s="580"/>
      <c r="N25" s="580"/>
      <c r="O25" s="580"/>
      <c r="P25" s="910"/>
      <c r="Q25" s="910"/>
      <c r="R25" s="910"/>
      <c r="S25" s="910"/>
      <c r="T25" s="910"/>
      <c r="U25" s="910"/>
      <c r="V25" s="910"/>
      <c r="X25" s="596" t="s">
        <v>114</v>
      </c>
    </row>
    <row r="26" spans="1:24" x14ac:dyDescent="0.25">
      <c r="A26" s="772"/>
      <c r="B26" s="767" t="str">
        <f t="shared" si="0"/>
        <v xml:space="preserve"> </v>
      </c>
      <c r="C26" s="768" t="str">
        <f t="shared" si="1"/>
        <v xml:space="preserve"> </v>
      </c>
      <c r="D26" s="486"/>
      <c r="E26" s="308" cm="1">
        <f t="array" ref="E26">_xlfn.XLOOKUP(A26&amp;D26, $A$562:$J$562&amp;$A$563:$J$563, $A$564:$J$564, " ")</f>
        <v>0</v>
      </c>
      <c r="F26" s="872" cm="1">
        <f t="array" ref="F26">_xlfn.XLOOKUP(A26&amp;D26, $A$562:$J$562&amp;$A$563:$J$563, $A$565:$J$565, " ")</f>
        <v>0</v>
      </c>
      <c r="G26" s="510"/>
      <c r="H26" s="840"/>
      <c r="I26" s="510"/>
      <c r="J26" s="510"/>
      <c r="K26" s="511"/>
      <c r="L26" s="510"/>
      <c r="M26" s="580"/>
      <c r="N26" s="580"/>
      <c r="O26" s="580"/>
      <c r="P26" s="910"/>
      <c r="Q26" s="910"/>
      <c r="R26" s="910"/>
      <c r="S26" s="910"/>
      <c r="T26" s="910"/>
      <c r="U26" s="910"/>
      <c r="V26" s="910"/>
      <c r="X26" s="596" t="s">
        <v>115</v>
      </c>
    </row>
    <row r="27" spans="1:24" x14ac:dyDescent="0.25">
      <c r="A27" s="772"/>
      <c r="B27" s="767" t="str">
        <f t="shared" si="0"/>
        <v xml:space="preserve"> </v>
      </c>
      <c r="C27" s="768" t="str">
        <f t="shared" si="1"/>
        <v xml:space="preserve"> </v>
      </c>
      <c r="D27" s="486"/>
      <c r="E27" s="308" cm="1">
        <f t="array" ref="E27">_xlfn.XLOOKUP(A27&amp;D27, $A$562:$J$562&amp;$A$563:$J$563, $A$564:$J$564, " ")</f>
        <v>0</v>
      </c>
      <c r="F27" s="872" cm="1">
        <f t="array" ref="F27">_xlfn.XLOOKUP(A27&amp;D27, $A$562:$J$562&amp;$A$563:$J$563, $A$565:$J$565, " ")</f>
        <v>0</v>
      </c>
      <c r="G27" s="510"/>
      <c r="H27" s="840"/>
      <c r="I27" s="510"/>
      <c r="J27" s="510"/>
      <c r="K27" s="511"/>
      <c r="L27" s="510"/>
      <c r="M27" s="580"/>
      <c r="N27" s="580"/>
      <c r="O27" s="580"/>
      <c r="P27" s="910"/>
      <c r="Q27" s="910"/>
      <c r="R27" s="910"/>
      <c r="S27" s="910"/>
      <c r="T27" s="910"/>
      <c r="U27" s="910"/>
      <c r="V27" s="910"/>
      <c r="X27" s="596" t="s">
        <v>116</v>
      </c>
    </row>
    <row r="28" spans="1:24" x14ac:dyDescent="0.25">
      <c r="A28" s="772"/>
      <c r="B28" s="767" t="str">
        <f t="shared" si="0"/>
        <v xml:space="preserve"> </v>
      </c>
      <c r="C28" s="768" t="str">
        <f t="shared" si="1"/>
        <v xml:space="preserve"> </v>
      </c>
      <c r="D28" s="486"/>
      <c r="E28" s="308" cm="1">
        <f t="array" ref="E28">_xlfn.XLOOKUP(A28&amp;D28, $A$562:$J$562&amp;$A$563:$J$563, $A$564:$J$564, " ")</f>
        <v>0</v>
      </c>
      <c r="F28" s="872" cm="1">
        <f t="array" ref="F28">_xlfn.XLOOKUP(A28&amp;D28, $A$562:$J$562&amp;$A$563:$J$563, $A$565:$J$565, " ")</f>
        <v>0</v>
      </c>
      <c r="G28" s="510"/>
      <c r="H28" s="840"/>
      <c r="I28" s="510"/>
      <c r="J28" s="510"/>
      <c r="K28" s="511"/>
      <c r="L28" s="510"/>
      <c r="M28" s="580"/>
      <c r="N28" s="580"/>
      <c r="O28" s="580"/>
      <c r="P28" s="910"/>
      <c r="Q28" s="910"/>
      <c r="R28" s="910"/>
      <c r="S28" s="910"/>
      <c r="T28" s="910"/>
      <c r="U28" s="910"/>
      <c r="V28" s="910"/>
      <c r="X28" s="596" t="s">
        <v>104</v>
      </c>
    </row>
    <row r="29" spans="1:24" x14ac:dyDescent="0.25">
      <c r="A29" s="772"/>
      <c r="B29" s="767" t="str">
        <f t="shared" si="0"/>
        <v xml:space="preserve"> </v>
      </c>
      <c r="C29" s="768" t="str">
        <f t="shared" si="1"/>
        <v xml:space="preserve"> </v>
      </c>
      <c r="D29" s="486"/>
      <c r="E29" s="308" cm="1">
        <f t="array" ref="E29">_xlfn.XLOOKUP(A29&amp;D29, $A$562:$J$562&amp;$A$563:$J$563, $A$564:$J$564, " ")</f>
        <v>0</v>
      </c>
      <c r="F29" s="872" cm="1">
        <f t="array" ref="F29">_xlfn.XLOOKUP(A29&amp;D29, $A$562:$J$562&amp;$A$563:$J$563, $A$565:$J$565, " ")</f>
        <v>0</v>
      </c>
      <c r="G29" s="510"/>
      <c r="H29" s="840"/>
      <c r="I29" s="510"/>
      <c r="J29" s="510"/>
      <c r="K29" s="511"/>
      <c r="L29" s="510"/>
      <c r="M29" s="580"/>
      <c r="N29" s="580"/>
      <c r="O29" s="580"/>
      <c r="P29" s="910"/>
      <c r="Q29" s="910"/>
      <c r="R29" s="910"/>
      <c r="S29" s="910"/>
      <c r="T29" s="910"/>
      <c r="U29" s="910"/>
      <c r="V29" s="910"/>
      <c r="X29" s="596" t="s">
        <v>1168</v>
      </c>
    </row>
    <row r="30" spans="1:24" x14ac:dyDescent="0.25">
      <c r="A30" s="772"/>
      <c r="B30" s="767" t="str">
        <f t="shared" si="0"/>
        <v xml:space="preserve"> </v>
      </c>
      <c r="C30" s="768" t="str">
        <f t="shared" si="1"/>
        <v xml:space="preserve"> </v>
      </c>
      <c r="D30" s="486"/>
      <c r="E30" s="308" cm="1">
        <f t="array" ref="E30">_xlfn.XLOOKUP(A30&amp;D30, $A$562:$J$562&amp;$A$563:$J$563, $A$564:$J$564, " ")</f>
        <v>0</v>
      </c>
      <c r="F30" s="872" cm="1">
        <f t="array" ref="F30">_xlfn.XLOOKUP(A30&amp;D30, $A$562:$J$562&amp;$A$563:$J$563, $A$565:$J$565, " ")</f>
        <v>0</v>
      </c>
      <c r="G30" s="510"/>
      <c r="H30" s="840"/>
      <c r="I30" s="510"/>
      <c r="J30" s="510"/>
      <c r="K30" s="511"/>
      <c r="L30" s="510"/>
      <c r="M30" s="580"/>
      <c r="N30" s="580"/>
      <c r="O30" s="580"/>
      <c r="P30" s="910"/>
      <c r="Q30" s="910"/>
      <c r="R30" s="910"/>
      <c r="S30" s="910"/>
      <c r="T30" s="910"/>
      <c r="U30" s="910"/>
      <c r="V30" s="910"/>
    </row>
    <row r="31" spans="1:24" x14ac:dyDescent="0.25">
      <c r="A31" s="772"/>
      <c r="B31" s="767" t="str">
        <f t="shared" si="0"/>
        <v xml:space="preserve"> </v>
      </c>
      <c r="C31" s="768" t="str">
        <f t="shared" si="1"/>
        <v xml:space="preserve"> </v>
      </c>
      <c r="D31" s="486"/>
      <c r="E31" s="308" cm="1">
        <f t="array" ref="E31">_xlfn.XLOOKUP(A31&amp;D31, $A$562:$J$562&amp;$A$563:$J$563, $A$564:$J$564, " ")</f>
        <v>0</v>
      </c>
      <c r="F31" s="872" cm="1">
        <f t="array" ref="F31">_xlfn.XLOOKUP(A31&amp;D31, $A$562:$J$562&amp;$A$563:$J$563, $A$565:$J$565, " ")</f>
        <v>0</v>
      </c>
      <c r="G31" s="510"/>
      <c r="H31" s="840"/>
      <c r="I31" s="510"/>
      <c r="J31" s="510"/>
      <c r="K31" s="511"/>
      <c r="L31" s="510"/>
      <c r="M31" s="580"/>
      <c r="N31" s="580"/>
      <c r="O31" s="580"/>
      <c r="P31" s="910"/>
      <c r="Q31" s="910"/>
      <c r="R31" s="910"/>
      <c r="S31" s="910"/>
      <c r="T31" s="910"/>
      <c r="U31" s="910"/>
      <c r="V31" s="910"/>
    </row>
    <row r="32" spans="1:24" x14ac:dyDescent="0.25">
      <c r="A32" s="772"/>
      <c r="B32" s="767" t="str">
        <f t="shared" si="0"/>
        <v xml:space="preserve"> </v>
      </c>
      <c r="C32" s="768" t="str">
        <f t="shared" si="1"/>
        <v xml:space="preserve"> </v>
      </c>
      <c r="D32" s="486"/>
      <c r="E32" s="308" cm="1">
        <f t="array" ref="E32">_xlfn.XLOOKUP(A32&amp;D32, $A$562:$J$562&amp;$A$563:$J$563, $A$564:$J$564, " ")</f>
        <v>0</v>
      </c>
      <c r="F32" s="872" cm="1">
        <f t="array" ref="F32">_xlfn.XLOOKUP(A32&amp;D32, $A$562:$J$562&amp;$A$563:$J$563, $A$565:$J$565, " ")</f>
        <v>0</v>
      </c>
      <c r="G32" s="510"/>
      <c r="H32" s="840"/>
      <c r="I32" s="510"/>
      <c r="J32" s="510"/>
      <c r="K32" s="511"/>
      <c r="L32" s="510"/>
      <c r="M32" s="580"/>
      <c r="N32" s="580"/>
      <c r="O32" s="580"/>
      <c r="P32" s="910"/>
      <c r="Q32" s="910"/>
      <c r="R32" s="910"/>
      <c r="S32" s="910"/>
      <c r="T32" s="910"/>
      <c r="U32" s="910"/>
      <c r="V32" s="910"/>
    </row>
    <row r="33" spans="1:22" x14ac:dyDescent="0.25">
      <c r="A33" s="772"/>
      <c r="B33" s="767" t="str">
        <f t="shared" si="0"/>
        <v xml:space="preserve"> </v>
      </c>
      <c r="C33" s="768" t="str">
        <f t="shared" si="1"/>
        <v xml:space="preserve"> </v>
      </c>
      <c r="D33" s="486"/>
      <c r="E33" s="308" cm="1">
        <f t="array" ref="E33">_xlfn.XLOOKUP(A33&amp;D33, $A$562:$J$562&amp;$A$563:$J$563, $A$564:$J$564, " ")</f>
        <v>0</v>
      </c>
      <c r="F33" s="872" cm="1">
        <f t="array" ref="F33">_xlfn.XLOOKUP(A33&amp;D33, $A$562:$J$562&amp;$A$563:$J$563, $A$565:$J$565, " ")</f>
        <v>0</v>
      </c>
      <c r="G33" s="510"/>
      <c r="H33" s="840"/>
      <c r="I33" s="510"/>
      <c r="J33" s="510"/>
      <c r="K33" s="511"/>
      <c r="L33" s="510"/>
      <c r="M33" s="580"/>
      <c r="N33" s="580"/>
      <c r="O33" s="580"/>
      <c r="P33" s="910"/>
      <c r="Q33" s="910"/>
      <c r="R33" s="910"/>
      <c r="S33" s="910"/>
      <c r="T33" s="910"/>
      <c r="U33" s="910"/>
      <c r="V33" s="910"/>
    </row>
    <row r="34" spans="1:22" x14ac:dyDescent="0.25">
      <c r="A34" s="772"/>
      <c r="B34" s="767" t="str">
        <f t="shared" si="0"/>
        <v xml:space="preserve"> </v>
      </c>
      <c r="C34" s="768" t="str">
        <f t="shared" si="1"/>
        <v xml:space="preserve"> </v>
      </c>
      <c r="D34" s="486"/>
      <c r="E34" s="308" cm="1">
        <f t="array" ref="E34">_xlfn.XLOOKUP(A34&amp;D34, $A$562:$J$562&amp;$A$563:$J$563, $A$564:$J$564, " ")</f>
        <v>0</v>
      </c>
      <c r="F34" s="872" cm="1">
        <f t="array" ref="F34">_xlfn.XLOOKUP(A34&amp;D34, $A$562:$J$562&amp;$A$563:$J$563, $A$565:$J$565, " ")</f>
        <v>0</v>
      </c>
      <c r="G34" s="510"/>
      <c r="H34" s="840"/>
      <c r="I34" s="510"/>
      <c r="J34" s="510"/>
      <c r="K34" s="511"/>
      <c r="L34" s="510"/>
      <c r="M34" s="580"/>
      <c r="N34" s="580"/>
      <c r="O34" s="580"/>
      <c r="P34" s="910"/>
      <c r="Q34" s="910"/>
      <c r="R34" s="910"/>
      <c r="S34" s="910"/>
      <c r="T34" s="910"/>
      <c r="U34" s="910"/>
      <c r="V34" s="910"/>
    </row>
    <row r="35" spans="1:22" x14ac:dyDescent="0.25">
      <c r="A35" s="772"/>
      <c r="B35" s="767" t="str">
        <f t="shared" si="0"/>
        <v xml:space="preserve"> </v>
      </c>
      <c r="C35" s="768" t="str">
        <f t="shared" si="1"/>
        <v xml:space="preserve"> </v>
      </c>
      <c r="D35" s="486"/>
      <c r="E35" s="308" cm="1">
        <f t="array" ref="E35">_xlfn.XLOOKUP(A35&amp;D35, $A$562:$J$562&amp;$A$563:$J$563, $A$564:$J$564, " ")</f>
        <v>0</v>
      </c>
      <c r="F35" s="872" cm="1">
        <f t="array" ref="F35">_xlfn.XLOOKUP(A35&amp;D35, $A$562:$J$562&amp;$A$563:$J$563, $A$565:$J$565, " ")</f>
        <v>0</v>
      </c>
      <c r="G35" s="510"/>
      <c r="H35" s="840"/>
      <c r="I35" s="510"/>
      <c r="J35" s="510"/>
      <c r="K35" s="511"/>
      <c r="L35" s="510"/>
      <c r="M35" s="580"/>
      <c r="N35" s="580"/>
      <c r="O35" s="580"/>
      <c r="P35" s="910"/>
      <c r="Q35" s="910"/>
      <c r="R35" s="910"/>
      <c r="S35" s="910"/>
      <c r="T35" s="910"/>
      <c r="U35" s="910"/>
      <c r="V35" s="910"/>
    </row>
    <row r="36" spans="1:22" x14ac:dyDescent="0.25">
      <c r="A36" s="772"/>
      <c r="B36" s="767" t="str">
        <f t="shared" si="0"/>
        <v xml:space="preserve"> </v>
      </c>
      <c r="C36" s="768" t="str">
        <f t="shared" si="1"/>
        <v xml:space="preserve"> </v>
      </c>
      <c r="D36" s="486"/>
      <c r="E36" s="308" cm="1">
        <f t="array" ref="E36">_xlfn.XLOOKUP(A36&amp;D36, $A$562:$J$562&amp;$A$563:$J$563, $A$564:$J$564, " ")</f>
        <v>0</v>
      </c>
      <c r="F36" s="872" cm="1">
        <f t="array" ref="F36">_xlfn.XLOOKUP(A36&amp;D36, $A$562:$J$562&amp;$A$563:$J$563, $A$565:$J$565, " ")</f>
        <v>0</v>
      </c>
      <c r="G36" s="510"/>
      <c r="H36" s="840"/>
      <c r="I36" s="510"/>
      <c r="J36" s="510"/>
      <c r="K36" s="511"/>
      <c r="L36" s="510"/>
      <c r="M36" s="580"/>
      <c r="N36" s="580"/>
      <c r="O36" s="580"/>
      <c r="P36" s="910"/>
      <c r="Q36" s="910"/>
      <c r="R36" s="910"/>
      <c r="S36" s="910"/>
      <c r="T36" s="910"/>
      <c r="U36" s="910"/>
      <c r="V36" s="910"/>
    </row>
    <row r="37" spans="1:22" x14ac:dyDescent="0.25">
      <c r="A37" s="772"/>
      <c r="B37" s="767" t="str">
        <f t="shared" si="0"/>
        <v xml:space="preserve"> </v>
      </c>
      <c r="C37" s="768" t="str">
        <f t="shared" si="1"/>
        <v xml:space="preserve"> </v>
      </c>
      <c r="D37" s="486"/>
      <c r="E37" s="308" cm="1">
        <f t="array" ref="E37">_xlfn.XLOOKUP(A37&amp;D37, $A$562:$J$562&amp;$A$563:$J$563, $A$564:$J$564, " ")</f>
        <v>0</v>
      </c>
      <c r="F37" s="872" cm="1">
        <f t="array" ref="F37">_xlfn.XLOOKUP(A37&amp;D37, $A$562:$J$562&amp;$A$563:$J$563, $A$565:$J$565, " ")</f>
        <v>0</v>
      </c>
      <c r="G37" s="510"/>
      <c r="H37" s="840"/>
      <c r="I37" s="510"/>
      <c r="J37" s="510"/>
      <c r="K37" s="511"/>
      <c r="L37" s="510"/>
      <c r="M37" s="580"/>
      <c r="N37" s="580"/>
      <c r="O37" s="580"/>
      <c r="P37" s="910"/>
      <c r="Q37" s="910"/>
      <c r="R37" s="910"/>
      <c r="S37" s="910"/>
      <c r="T37" s="910"/>
      <c r="U37" s="910"/>
      <c r="V37" s="910"/>
    </row>
    <row r="38" spans="1:22" x14ac:dyDescent="0.25">
      <c r="A38" s="772"/>
      <c r="B38" s="767" t="str">
        <f t="shared" si="0"/>
        <v xml:space="preserve"> </v>
      </c>
      <c r="C38" s="768" t="str">
        <f t="shared" si="1"/>
        <v xml:space="preserve"> </v>
      </c>
      <c r="D38" s="486"/>
      <c r="E38" s="308" cm="1">
        <f t="array" ref="E38">_xlfn.XLOOKUP(A38&amp;D38, $A$562:$J$562&amp;$A$563:$J$563, $A$564:$J$564, " ")</f>
        <v>0</v>
      </c>
      <c r="F38" s="872" cm="1">
        <f t="array" ref="F38">_xlfn.XLOOKUP(A38&amp;D38, $A$562:$J$562&amp;$A$563:$J$563, $A$565:$J$565, " ")</f>
        <v>0</v>
      </c>
      <c r="G38" s="510"/>
      <c r="H38" s="840"/>
      <c r="I38" s="510"/>
      <c r="J38" s="510"/>
      <c r="K38" s="511"/>
      <c r="L38" s="510"/>
      <c r="M38" s="580"/>
      <c r="N38" s="580"/>
      <c r="O38" s="580"/>
      <c r="P38" s="910"/>
      <c r="Q38" s="910"/>
      <c r="R38" s="910"/>
      <c r="S38" s="910"/>
      <c r="T38" s="910"/>
      <c r="U38" s="910"/>
      <c r="V38" s="910"/>
    </row>
    <row r="39" spans="1:22" x14ac:dyDescent="0.25">
      <c r="A39" s="772"/>
      <c r="B39" s="767" t="str">
        <f t="shared" si="0"/>
        <v xml:space="preserve"> </v>
      </c>
      <c r="C39" s="768" t="str">
        <f t="shared" si="1"/>
        <v xml:space="preserve"> </v>
      </c>
      <c r="D39" s="486"/>
      <c r="E39" s="308" cm="1">
        <f t="array" ref="E39">_xlfn.XLOOKUP(A39&amp;D39, $A$562:$J$562&amp;$A$563:$J$563, $A$564:$J$564, " ")</f>
        <v>0</v>
      </c>
      <c r="F39" s="872" cm="1">
        <f t="array" ref="F39">_xlfn.XLOOKUP(A39&amp;D39, $A$562:$J$562&amp;$A$563:$J$563, $A$565:$J$565, " ")</f>
        <v>0</v>
      </c>
      <c r="G39" s="510"/>
      <c r="H39" s="840"/>
      <c r="I39" s="510"/>
      <c r="J39" s="510"/>
      <c r="K39" s="511"/>
      <c r="L39" s="510"/>
      <c r="M39" s="580"/>
      <c r="N39" s="580"/>
      <c r="O39" s="580"/>
      <c r="P39" s="910"/>
      <c r="Q39" s="910"/>
      <c r="R39" s="910"/>
      <c r="S39" s="910"/>
      <c r="T39" s="910"/>
      <c r="U39" s="910"/>
      <c r="V39" s="910"/>
    </row>
    <row r="40" spans="1:22" x14ac:dyDescent="0.25">
      <c r="A40" s="772"/>
      <c r="B40" s="767" t="str">
        <f t="shared" si="0"/>
        <v xml:space="preserve"> </v>
      </c>
      <c r="C40" s="768" t="str">
        <f t="shared" si="1"/>
        <v xml:space="preserve"> </v>
      </c>
      <c r="D40" s="486"/>
      <c r="E40" s="308" cm="1">
        <f t="array" ref="E40">_xlfn.XLOOKUP(A40&amp;D40, $A$562:$J$562&amp;$A$563:$J$563, $A$564:$J$564, " ")</f>
        <v>0</v>
      </c>
      <c r="F40" s="872" cm="1">
        <f t="array" ref="F40">_xlfn.XLOOKUP(A40&amp;D40, $A$562:$J$562&amp;$A$563:$J$563, $A$565:$J$565, " ")</f>
        <v>0</v>
      </c>
      <c r="G40" s="510"/>
      <c r="H40" s="840"/>
      <c r="I40" s="510"/>
      <c r="J40" s="510"/>
      <c r="K40" s="511"/>
      <c r="L40" s="510"/>
      <c r="M40" s="580"/>
      <c r="N40" s="580"/>
      <c r="O40" s="580"/>
      <c r="P40" s="910"/>
      <c r="Q40" s="910"/>
      <c r="R40" s="910"/>
      <c r="S40" s="910"/>
      <c r="T40" s="910"/>
      <c r="U40" s="910"/>
      <c r="V40" s="910"/>
    </row>
    <row r="41" spans="1:22" x14ac:dyDescent="0.25">
      <c r="A41" s="772"/>
      <c r="B41" s="767" t="str">
        <f t="shared" si="0"/>
        <v xml:space="preserve"> </v>
      </c>
      <c r="C41" s="768" t="str">
        <f t="shared" si="1"/>
        <v xml:space="preserve"> </v>
      </c>
      <c r="D41" s="486"/>
      <c r="E41" s="308" cm="1">
        <f t="array" ref="E41">_xlfn.XLOOKUP(A41&amp;D41, $A$562:$J$562&amp;$A$563:$J$563, $A$564:$J$564, " ")</f>
        <v>0</v>
      </c>
      <c r="F41" s="872" cm="1">
        <f t="array" ref="F41">_xlfn.XLOOKUP(A41&amp;D41, $A$562:$J$562&amp;$A$563:$J$563, $A$565:$J$565, " ")</f>
        <v>0</v>
      </c>
      <c r="G41" s="510"/>
      <c r="H41" s="840"/>
      <c r="I41" s="510"/>
      <c r="J41" s="510"/>
      <c r="K41" s="511"/>
      <c r="L41" s="510"/>
      <c r="M41" s="580"/>
      <c r="N41" s="580"/>
      <c r="O41" s="580"/>
      <c r="P41" s="910"/>
      <c r="Q41" s="910"/>
      <c r="R41" s="910"/>
      <c r="S41" s="910"/>
      <c r="T41" s="910"/>
      <c r="U41" s="910"/>
      <c r="V41" s="910"/>
    </row>
    <row r="42" spans="1:22" x14ac:dyDescent="0.25">
      <c r="A42" s="772"/>
      <c r="B42" s="767" t="str">
        <f t="shared" si="0"/>
        <v xml:space="preserve"> </v>
      </c>
      <c r="C42" s="768" t="str">
        <f t="shared" si="1"/>
        <v xml:space="preserve"> </v>
      </c>
      <c r="D42" s="486"/>
      <c r="E42" s="308" cm="1">
        <f t="array" ref="E42">_xlfn.XLOOKUP(A42&amp;D42, $A$562:$J$562&amp;$A$563:$J$563, $A$564:$J$564, " ")</f>
        <v>0</v>
      </c>
      <c r="F42" s="872" cm="1">
        <f t="array" ref="F42">_xlfn.XLOOKUP(A42&amp;D42, $A$562:$J$562&amp;$A$563:$J$563, $A$565:$J$565, " ")</f>
        <v>0</v>
      </c>
      <c r="G42" s="510"/>
      <c r="H42" s="840"/>
      <c r="I42" s="510"/>
      <c r="J42" s="510"/>
      <c r="K42" s="511"/>
      <c r="L42" s="510"/>
      <c r="M42" s="580"/>
      <c r="N42" s="580"/>
      <c r="O42" s="580"/>
      <c r="P42" s="910"/>
      <c r="Q42" s="910"/>
      <c r="R42" s="910"/>
      <c r="S42" s="910"/>
      <c r="T42" s="910"/>
      <c r="U42" s="910"/>
      <c r="V42" s="910"/>
    </row>
    <row r="43" spans="1:22" x14ac:dyDescent="0.25">
      <c r="A43" s="772"/>
      <c r="B43" s="767" t="str">
        <f t="shared" si="0"/>
        <v xml:space="preserve"> </v>
      </c>
      <c r="C43" s="768" t="str">
        <f t="shared" si="1"/>
        <v xml:space="preserve"> </v>
      </c>
      <c r="D43" s="486"/>
      <c r="E43" s="308" cm="1">
        <f t="array" ref="E43">_xlfn.XLOOKUP(A43&amp;D43, $A$562:$J$562&amp;$A$563:$J$563, $A$564:$J$564, " ")</f>
        <v>0</v>
      </c>
      <c r="F43" s="872" cm="1">
        <f t="array" ref="F43">_xlfn.XLOOKUP(A43&amp;D43, $A$562:$J$562&amp;$A$563:$J$563, $A$565:$J$565, " ")</f>
        <v>0</v>
      </c>
      <c r="G43" s="510"/>
      <c r="H43" s="840"/>
      <c r="I43" s="510"/>
      <c r="J43" s="510"/>
      <c r="K43" s="511"/>
      <c r="L43" s="510"/>
      <c r="M43" s="580"/>
      <c r="N43" s="580"/>
      <c r="O43" s="580"/>
      <c r="P43" s="910"/>
      <c r="Q43" s="910"/>
      <c r="R43" s="910"/>
      <c r="S43" s="910"/>
      <c r="T43" s="910"/>
      <c r="U43" s="910"/>
      <c r="V43" s="910"/>
    </row>
    <row r="44" spans="1:22" x14ac:dyDescent="0.25">
      <c r="A44" s="772"/>
      <c r="B44" s="767" t="str">
        <f t="shared" si="0"/>
        <v xml:space="preserve"> </v>
      </c>
      <c r="C44" s="768" t="str">
        <f t="shared" si="1"/>
        <v xml:space="preserve"> </v>
      </c>
      <c r="D44" s="486"/>
      <c r="E44" s="308" cm="1">
        <f t="array" ref="E44">_xlfn.XLOOKUP(A44&amp;D44, $A$562:$J$562&amp;$A$563:$J$563, $A$564:$J$564, " ")</f>
        <v>0</v>
      </c>
      <c r="F44" s="872" cm="1">
        <f t="array" ref="F44">_xlfn.XLOOKUP(A44&amp;D44, $A$562:$J$562&amp;$A$563:$J$563, $A$565:$J$565, " ")</f>
        <v>0</v>
      </c>
      <c r="G44" s="510"/>
      <c r="H44" s="840"/>
      <c r="I44" s="510"/>
      <c r="J44" s="510"/>
      <c r="K44" s="511"/>
      <c r="L44" s="510"/>
      <c r="M44" s="580"/>
      <c r="N44" s="580"/>
      <c r="O44" s="580"/>
      <c r="P44" s="910"/>
      <c r="Q44" s="910"/>
      <c r="R44" s="910"/>
      <c r="S44" s="910"/>
      <c r="T44" s="910"/>
      <c r="U44" s="910"/>
      <c r="V44" s="910"/>
    </row>
    <row r="45" spans="1:22" x14ac:dyDescent="0.25">
      <c r="A45" s="772"/>
      <c r="B45" s="767" t="str">
        <f t="shared" si="0"/>
        <v xml:space="preserve"> </v>
      </c>
      <c r="C45" s="768" t="str">
        <f t="shared" si="1"/>
        <v xml:space="preserve"> </v>
      </c>
      <c r="D45" s="486"/>
      <c r="E45" s="308" cm="1">
        <f t="array" ref="E45">_xlfn.XLOOKUP(A45&amp;D45, $A$562:$J$562&amp;$A$563:$J$563, $A$564:$J$564, " ")</f>
        <v>0</v>
      </c>
      <c r="F45" s="872" cm="1">
        <f t="array" ref="F45">_xlfn.XLOOKUP(A45&amp;D45, $A$562:$J$562&amp;$A$563:$J$563, $A$565:$J$565, " ")</f>
        <v>0</v>
      </c>
      <c r="G45" s="510"/>
      <c r="H45" s="840"/>
      <c r="I45" s="510"/>
      <c r="J45" s="510"/>
      <c r="K45" s="511"/>
      <c r="L45" s="510"/>
      <c r="M45" s="580"/>
      <c r="N45" s="580"/>
      <c r="O45" s="580"/>
      <c r="P45" s="910"/>
      <c r="Q45" s="910"/>
      <c r="R45" s="910"/>
      <c r="S45" s="910"/>
      <c r="T45" s="910"/>
      <c r="U45" s="910"/>
      <c r="V45" s="910"/>
    </row>
    <row r="46" spans="1:22" x14ac:dyDescent="0.25">
      <c r="A46" s="772"/>
      <c r="B46" s="767" t="str">
        <f t="shared" si="0"/>
        <v xml:space="preserve"> </v>
      </c>
      <c r="C46" s="768" t="str">
        <f t="shared" si="1"/>
        <v xml:space="preserve"> </v>
      </c>
      <c r="D46" s="486"/>
      <c r="E46" s="308" cm="1">
        <f t="array" ref="E46">_xlfn.XLOOKUP(A46&amp;D46, $A$562:$J$562&amp;$A$563:$J$563, $A$564:$J$564, " ")</f>
        <v>0</v>
      </c>
      <c r="F46" s="872" cm="1">
        <f t="array" ref="F46">_xlfn.XLOOKUP(A46&amp;D46, $A$562:$J$562&amp;$A$563:$J$563, $A$565:$J$565, " ")</f>
        <v>0</v>
      </c>
      <c r="G46" s="510"/>
      <c r="H46" s="840"/>
      <c r="I46" s="510"/>
      <c r="J46" s="510"/>
      <c r="K46" s="511"/>
      <c r="L46" s="510"/>
      <c r="M46" s="580"/>
      <c r="N46" s="580"/>
      <c r="O46" s="580"/>
      <c r="P46" s="910"/>
      <c r="Q46" s="910"/>
      <c r="R46" s="910"/>
      <c r="S46" s="910"/>
      <c r="T46" s="910"/>
      <c r="U46" s="910"/>
      <c r="V46" s="910"/>
    </row>
    <row r="47" spans="1:22" x14ac:dyDescent="0.25">
      <c r="A47" s="772"/>
      <c r="B47" s="767" t="str">
        <f t="shared" si="0"/>
        <v xml:space="preserve"> </v>
      </c>
      <c r="C47" s="768" t="str">
        <f t="shared" si="1"/>
        <v xml:space="preserve"> </v>
      </c>
      <c r="D47" s="486"/>
      <c r="E47" s="308" cm="1">
        <f t="array" ref="E47">_xlfn.XLOOKUP(A47&amp;D47, $A$562:$J$562&amp;$A$563:$J$563, $A$564:$J$564, " ")</f>
        <v>0</v>
      </c>
      <c r="F47" s="872" cm="1">
        <f t="array" ref="F47">_xlfn.XLOOKUP(A47&amp;D47, $A$562:$J$562&amp;$A$563:$J$563, $A$565:$J$565, " ")</f>
        <v>0</v>
      </c>
      <c r="G47" s="510"/>
      <c r="H47" s="840"/>
      <c r="I47" s="510"/>
      <c r="J47" s="510"/>
      <c r="K47" s="511"/>
      <c r="L47" s="510"/>
      <c r="M47" s="580"/>
      <c r="N47" s="580"/>
      <c r="O47" s="580"/>
      <c r="P47" s="910"/>
      <c r="Q47" s="910"/>
      <c r="R47" s="910"/>
      <c r="S47" s="910"/>
      <c r="T47" s="910"/>
      <c r="U47" s="910"/>
      <c r="V47" s="910"/>
    </row>
    <row r="48" spans="1:22" x14ac:dyDescent="0.25">
      <c r="A48" s="772"/>
      <c r="B48" s="767" t="str">
        <f t="shared" si="0"/>
        <v xml:space="preserve"> </v>
      </c>
      <c r="C48" s="768" t="str">
        <f t="shared" si="1"/>
        <v xml:space="preserve"> </v>
      </c>
      <c r="D48" s="486"/>
      <c r="E48" s="308" cm="1">
        <f t="array" ref="E48">_xlfn.XLOOKUP(A48&amp;D48, $A$562:$J$562&amp;$A$563:$J$563, $A$564:$J$564, " ")</f>
        <v>0</v>
      </c>
      <c r="F48" s="872" cm="1">
        <f t="array" ref="F48">_xlfn.XLOOKUP(A48&amp;D48, $A$562:$J$562&amp;$A$563:$J$563, $A$565:$J$565, " ")</f>
        <v>0</v>
      </c>
      <c r="G48" s="510"/>
      <c r="H48" s="840"/>
      <c r="I48" s="510"/>
      <c r="J48" s="510"/>
      <c r="K48" s="511"/>
      <c r="L48" s="510"/>
      <c r="M48" s="580"/>
      <c r="N48" s="580"/>
      <c r="O48" s="580"/>
      <c r="P48" s="910"/>
      <c r="Q48" s="910"/>
      <c r="R48" s="910"/>
      <c r="S48" s="910"/>
      <c r="T48" s="910"/>
      <c r="U48" s="910"/>
      <c r="V48" s="910"/>
    </row>
    <row r="49" spans="1:22" x14ac:dyDescent="0.25">
      <c r="A49" s="772"/>
      <c r="B49" s="767" t="str">
        <f t="shared" si="0"/>
        <v xml:space="preserve"> </v>
      </c>
      <c r="C49" s="768" t="str">
        <f t="shared" si="1"/>
        <v xml:space="preserve"> </v>
      </c>
      <c r="D49" s="486"/>
      <c r="E49" s="308" cm="1">
        <f t="array" ref="E49">_xlfn.XLOOKUP(A49&amp;D49, $A$562:$J$562&amp;$A$563:$J$563, $A$564:$J$564, " ")</f>
        <v>0</v>
      </c>
      <c r="F49" s="872" cm="1">
        <f t="array" ref="F49">_xlfn.XLOOKUP(A49&amp;D49, $A$562:$J$562&amp;$A$563:$J$563, $A$565:$J$565, " ")</f>
        <v>0</v>
      </c>
      <c r="G49" s="510"/>
      <c r="H49" s="840"/>
      <c r="I49" s="510"/>
      <c r="J49" s="510"/>
      <c r="K49" s="511"/>
      <c r="L49" s="510"/>
      <c r="M49" s="580"/>
      <c r="N49" s="580"/>
      <c r="O49" s="580"/>
      <c r="P49" s="910"/>
      <c r="Q49" s="910"/>
      <c r="R49" s="910"/>
      <c r="S49" s="910"/>
      <c r="T49" s="910"/>
      <c r="U49" s="910"/>
      <c r="V49" s="910"/>
    </row>
    <row r="50" spans="1:22" x14ac:dyDescent="0.25">
      <c r="A50" s="772"/>
      <c r="B50" s="767" t="str">
        <f t="shared" si="0"/>
        <v xml:space="preserve"> </v>
      </c>
      <c r="C50" s="768" t="str">
        <f t="shared" si="1"/>
        <v xml:space="preserve"> </v>
      </c>
      <c r="D50" s="486"/>
      <c r="E50" s="308" cm="1">
        <f t="array" ref="E50">_xlfn.XLOOKUP(A50&amp;D50, $A$562:$J$562&amp;$A$563:$J$563, $A$564:$J$564, " ")</f>
        <v>0</v>
      </c>
      <c r="F50" s="872" cm="1">
        <f t="array" ref="F50">_xlfn.XLOOKUP(A50&amp;D50, $A$562:$J$562&amp;$A$563:$J$563, $A$565:$J$565, " ")</f>
        <v>0</v>
      </c>
      <c r="G50" s="510"/>
      <c r="H50" s="840"/>
      <c r="I50" s="510"/>
      <c r="J50" s="510"/>
      <c r="K50" s="511"/>
      <c r="L50" s="510"/>
      <c r="M50" s="580"/>
      <c r="N50" s="580"/>
      <c r="O50" s="580"/>
      <c r="P50" s="910"/>
      <c r="Q50" s="910"/>
      <c r="R50" s="910"/>
      <c r="S50" s="910"/>
      <c r="T50" s="910"/>
      <c r="U50" s="910"/>
      <c r="V50" s="910"/>
    </row>
    <row r="51" spans="1:22" x14ac:dyDescent="0.25">
      <c r="A51" s="772"/>
      <c r="B51" s="767" t="str">
        <f t="shared" si="0"/>
        <v xml:space="preserve"> </v>
      </c>
      <c r="C51" s="768" t="str">
        <f t="shared" si="1"/>
        <v xml:space="preserve"> </v>
      </c>
      <c r="D51" s="486"/>
      <c r="E51" s="308" cm="1">
        <f t="array" ref="E51">_xlfn.XLOOKUP(A51&amp;D51, $A$562:$J$562&amp;$A$563:$J$563, $A$564:$J$564, " ")</f>
        <v>0</v>
      </c>
      <c r="F51" s="872" cm="1">
        <f t="array" ref="F51">_xlfn.XLOOKUP(A51&amp;D51, $A$562:$J$562&amp;$A$563:$J$563, $A$565:$J$565, " ")</f>
        <v>0</v>
      </c>
      <c r="G51" s="510"/>
      <c r="H51" s="840"/>
      <c r="I51" s="510"/>
      <c r="J51" s="510"/>
      <c r="K51" s="511"/>
      <c r="L51" s="510"/>
      <c r="M51" s="580"/>
      <c r="N51" s="580"/>
      <c r="O51" s="580"/>
      <c r="P51" s="910"/>
      <c r="Q51" s="910"/>
      <c r="R51" s="910"/>
      <c r="S51" s="910"/>
      <c r="T51" s="910"/>
      <c r="U51" s="910"/>
      <c r="V51" s="910"/>
    </row>
    <row r="52" spans="1:22" x14ac:dyDescent="0.25">
      <c r="A52" s="772"/>
      <c r="B52" s="767" t="str">
        <f t="shared" si="0"/>
        <v xml:space="preserve"> </v>
      </c>
      <c r="C52" s="768" t="str">
        <f t="shared" si="1"/>
        <v xml:space="preserve"> </v>
      </c>
      <c r="D52" s="486"/>
      <c r="E52" s="308" cm="1">
        <f t="array" ref="E52">_xlfn.XLOOKUP(A52&amp;D52, $A$562:$J$562&amp;$A$563:$J$563, $A$564:$J$564, " ")</f>
        <v>0</v>
      </c>
      <c r="F52" s="872" cm="1">
        <f t="array" ref="F52">_xlfn.XLOOKUP(A52&amp;D52, $A$562:$J$562&amp;$A$563:$J$563, $A$565:$J$565, " ")</f>
        <v>0</v>
      </c>
      <c r="G52" s="510"/>
      <c r="H52" s="840"/>
      <c r="I52" s="510"/>
      <c r="J52" s="510"/>
      <c r="K52" s="511"/>
      <c r="L52" s="510"/>
      <c r="M52" s="580"/>
      <c r="N52" s="580"/>
      <c r="O52" s="580"/>
      <c r="P52" s="910"/>
      <c r="Q52" s="910"/>
      <c r="R52" s="910"/>
      <c r="S52" s="910"/>
      <c r="T52" s="910"/>
      <c r="U52" s="910"/>
      <c r="V52" s="910"/>
    </row>
    <row r="53" spans="1:22" x14ac:dyDescent="0.25">
      <c r="A53" s="772"/>
      <c r="B53" s="767" t="str">
        <f t="shared" si="0"/>
        <v xml:space="preserve"> </v>
      </c>
      <c r="C53" s="768" t="str">
        <f t="shared" si="1"/>
        <v xml:space="preserve"> </v>
      </c>
      <c r="D53" s="486"/>
      <c r="E53" s="308" cm="1">
        <f t="array" ref="E53">_xlfn.XLOOKUP(A53&amp;D53, $A$562:$J$562&amp;$A$563:$J$563, $A$564:$J$564, " ")</f>
        <v>0</v>
      </c>
      <c r="F53" s="872" cm="1">
        <f t="array" ref="F53">_xlfn.XLOOKUP(A53&amp;D53, $A$562:$J$562&amp;$A$563:$J$563, $A$565:$J$565, " ")</f>
        <v>0</v>
      </c>
      <c r="G53" s="510"/>
      <c r="H53" s="840"/>
      <c r="I53" s="510"/>
      <c r="J53" s="510"/>
      <c r="K53" s="511"/>
      <c r="L53" s="510"/>
      <c r="M53" s="580"/>
      <c r="N53" s="580"/>
      <c r="O53" s="580"/>
      <c r="P53" s="910"/>
      <c r="Q53" s="910"/>
      <c r="R53" s="910"/>
      <c r="S53" s="910"/>
      <c r="T53" s="910"/>
      <c r="U53" s="910"/>
      <c r="V53" s="910"/>
    </row>
    <row r="54" spans="1:22" x14ac:dyDescent="0.25">
      <c r="A54" s="772"/>
      <c r="B54" s="767" t="str">
        <f t="shared" si="0"/>
        <v xml:space="preserve"> </v>
      </c>
      <c r="C54" s="768" t="str">
        <f t="shared" si="1"/>
        <v xml:space="preserve"> </v>
      </c>
      <c r="D54" s="486"/>
      <c r="E54" s="308" cm="1">
        <f t="array" ref="E54">_xlfn.XLOOKUP(A54&amp;D54, $A$562:$J$562&amp;$A$563:$J$563, $A$564:$J$564, " ")</f>
        <v>0</v>
      </c>
      <c r="F54" s="872" cm="1">
        <f t="array" ref="F54">_xlfn.XLOOKUP(A54&amp;D54, $A$562:$J$562&amp;$A$563:$J$563, $A$565:$J$565, " ")</f>
        <v>0</v>
      </c>
      <c r="G54" s="510"/>
      <c r="H54" s="840"/>
      <c r="I54" s="510"/>
      <c r="J54" s="510"/>
      <c r="K54" s="511"/>
      <c r="L54" s="510"/>
      <c r="M54" s="580"/>
      <c r="N54" s="580"/>
      <c r="O54" s="580"/>
      <c r="P54" s="910"/>
      <c r="Q54" s="910"/>
      <c r="R54" s="910"/>
      <c r="S54" s="910"/>
      <c r="T54" s="910"/>
      <c r="U54" s="910"/>
      <c r="V54" s="910"/>
    </row>
    <row r="55" spans="1:22" x14ac:dyDescent="0.25">
      <c r="A55" s="772"/>
      <c r="B55" s="767" t="str">
        <f t="shared" si="0"/>
        <v xml:space="preserve"> </v>
      </c>
      <c r="C55" s="768" t="str">
        <f t="shared" si="1"/>
        <v xml:space="preserve"> </v>
      </c>
      <c r="D55" s="486"/>
      <c r="E55" s="308" cm="1">
        <f t="array" ref="E55">_xlfn.XLOOKUP(A55&amp;D55, $A$562:$J$562&amp;$A$563:$J$563, $A$564:$J$564, " ")</f>
        <v>0</v>
      </c>
      <c r="F55" s="872" cm="1">
        <f t="array" ref="F55">_xlfn.XLOOKUP(A55&amp;D55, $A$562:$J$562&amp;$A$563:$J$563, $A$565:$J$565, " ")</f>
        <v>0</v>
      </c>
      <c r="G55" s="510"/>
      <c r="H55" s="840"/>
      <c r="I55" s="510"/>
      <c r="J55" s="510"/>
      <c r="K55" s="511"/>
      <c r="L55" s="510"/>
      <c r="M55" s="580"/>
      <c r="N55" s="580"/>
      <c r="O55" s="580"/>
      <c r="P55" s="910"/>
      <c r="Q55" s="910"/>
      <c r="R55" s="910"/>
      <c r="S55" s="910"/>
      <c r="T55" s="910"/>
      <c r="U55" s="910"/>
      <c r="V55" s="910"/>
    </row>
    <row r="56" spans="1:22" x14ac:dyDescent="0.25">
      <c r="A56" s="772"/>
      <c r="B56" s="767" t="str">
        <f t="shared" si="0"/>
        <v xml:space="preserve"> </v>
      </c>
      <c r="C56" s="768" t="str">
        <f t="shared" si="1"/>
        <v xml:space="preserve"> </v>
      </c>
      <c r="D56" s="486"/>
      <c r="E56" s="308" cm="1">
        <f t="array" ref="E56">_xlfn.XLOOKUP(A56&amp;D56, $A$562:$J$562&amp;$A$563:$J$563, $A$564:$J$564, " ")</f>
        <v>0</v>
      </c>
      <c r="F56" s="872" cm="1">
        <f t="array" ref="F56">_xlfn.XLOOKUP(A56&amp;D56, $A$562:$J$562&amp;$A$563:$J$563, $A$565:$J$565, " ")</f>
        <v>0</v>
      </c>
      <c r="G56" s="510"/>
      <c r="H56" s="840"/>
      <c r="I56" s="510"/>
      <c r="J56" s="510"/>
      <c r="K56" s="511"/>
      <c r="L56" s="510"/>
      <c r="M56" s="580"/>
      <c r="N56" s="580"/>
      <c r="O56" s="580"/>
      <c r="P56" s="910"/>
      <c r="Q56" s="910"/>
      <c r="R56" s="910"/>
      <c r="S56" s="910"/>
      <c r="T56" s="910"/>
      <c r="U56" s="910"/>
      <c r="V56" s="910"/>
    </row>
    <row r="57" spans="1:22" x14ac:dyDescent="0.25">
      <c r="A57" s="772"/>
      <c r="B57" s="767" t="str">
        <f t="shared" si="0"/>
        <v xml:space="preserve"> </v>
      </c>
      <c r="C57" s="768" t="str">
        <f t="shared" si="1"/>
        <v xml:space="preserve"> </v>
      </c>
      <c r="D57" s="486"/>
      <c r="E57" s="308" cm="1">
        <f t="array" ref="E57">_xlfn.XLOOKUP(A57&amp;D57, $A$562:$J$562&amp;$A$563:$J$563, $A$564:$J$564, " ")</f>
        <v>0</v>
      </c>
      <c r="F57" s="872" cm="1">
        <f t="array" ref="F57">_xlfn.XLOOKUP(A57&amp;D57, $A$562:$J$562&amp;$A$563:$J$563, $A$565:$J$565, " ")</f>
        <v>0</v>
      </c>
      <c r="G57" s="510"/>
      <c r="H57" s="840"/>
      <c r="I57" s="510"/>
      <c r="J57" s="510"/>
      <c r="K57" s="511"/>
      <c r="L57" s="510"/>
      <c r="M57" s="580"/>
      <c r="N57" s="580"/>
      <c r="O57" s="580"/>
      <c r="P57" s="910"/>
      <c r="Q57" s="910"/>
      <c r="R57" s="910"/>
      <c r="S57" s="910"/>
      <c r="T57" s="910"/>
      <c r="U57" s="910"/>
      <c r="V57" s="910"/>
    </row>
    <row r="58" spans="1:22" x14ac:dyDescent="0.25">
      <c r="A58" s="772"/>
      <c r="B58" s="767" t="str">
        <f t="shared" si="0"/>
        <v xml:space="preserve"> </v>
      </c>
      <c r="C58" s="768" t="str">
        <f t="shared" si="1"/>
        <v xml:space="preserve"> </v>
      </c>
      <c r="D58" s="486"/>
      <c r="E58" s="308" cm="1">
        <f t="array" ref="E58">_xlfn.XLOOKUP(A58&amp;D58, $A$562:$J$562&amp;$A$563:$J$563, $A$564:$J$564, " ")</f>
        <v>0</v>
      </c>
      <c r="F58" s="872" cm="1">
        <f t="array" ref="F58">_xlfn.XLOOKUP(A58&amp;D58, $A$562:$J$562&amp;$A$563:$J$563, $A$565:$J$565, " ")</f>
        <v>0</v>
      </c>
      <c r="G58" s="510"/>
      <c r="H58" s="840"/>
      <c r="I58" s="510"/>
      <c r="J58" s="510"/>
      <c r="K58" s="511"/>
      <c r="L58" s="510"/>
      <c r="M58" s="580"/>
      <c r="N58" s="580"/>
      <c r="O58" s="580"/>
      <c r="P58" s="910"/>
      <c r="Q58" s="910"/>
      <c r="R58" s="910"/>
      <c r="S58" s="910"/>
      <c r="T58" s="910"/>
      <c r="U58" s="910"/>
      <c r="V58" s="910"/>
    </row>
    <row r="59" spans="1:22" x14ac:dyDescent="0.25">
      <c r="A59" s="772"/>
      <c r="B59" s="767" t="str">
        <f t="shared" si="0"/>
        <v xml:space="preserve"> </v>
      </c>
      <c r="C59" s="768" t="str">
        <f t="shared" si="1"/>
        <v xml:space="preserve"> </v>
      </c>
      <c r="D59" s="486"/>
      <c r="E59" s="308" cm="1">
        <f t="array" ref="E59">_xlfn.XLOOKUP(A59&amp;D59, $A$562:$J$562&amp;$A$563:$J$563, $A$564:$J$564, " ")</f>
        <v>0</v>
      </c>
      <c r="F59" s="872" cm="1">
        <f t="array" ref="F59">_xlfn.XLOOKUP(A59&amp;D59, $A$562:$J$562&amp;$A$563:$J$563, $A$565:$J$565, " ")</f>
        <v>0</v>
      </c>
      <c r="G59" s="510"/>
      <c r="H59" s="840"/>
      <c r="I59" s="510"/>
      <c r="J59" s="510"/>
      <c r="K59" s="511"/>
      <c r="L59" s="510"/>
      <c r="M59" s="580"/>
      <c r="N59" s="580"/>
      <c r="O59" s="580"/>
      <c r="P59" s="910"/>
      <c r="Q59" s="910"/>
      <c r="R59" s="910"/>
      <c r="S59" s="910"/>
      <c r="T59" s="910"/>
      <c r="U59" s="910"/>
      <c r="V59" s="910"/>
    </row>
    <row r="60" spans="1:22" x14ac:dyDescent="0.25">
      <c r="A60" s="772"/>
      <c r="B60" s="767" t="str">
        <f t="shared" si="0"/>
        <v xml:space="preserve"> </v>
      </c>
      <c r="C60" s="768" t="str">
        <f t="shared" si="1"/>
        <v xml:space="preserve"> </v>
      </c>
      <c r="D60" s="486"/>
      <c r="E60" s="308" cm="1">
        <f t="array" ref="E60">_xlfn.XLOOKUP(A60&amp;D60, $A$562:$J$562&amp;$A$563:$J$563, $A$564:$J$564, " ")</f>
        <v>0</v>
      </c>
      <c r="F60" s="872" cm="1">
        <f t="array" ref="F60">_xlfn.XLOOKUP(A60&amp;D60, $A$562:$J$562&amp;$A$563:$J$563, $A$565:$J$565, " ")</f>
        <v>0</v>
      </c>
      <c r="G60" s="510"/>
      <c r="H60" s="840"/>
      <c r="I60" s="510"/>
      <c r="J60" s="510"/>
      <c r="K60" s="511"/>
      <c r="L60" s="510"/>
      <c r="M60" s="580"/>
      <c r="N60" s="580"/>
      <c r="O60" s="580"/>
      <c r="P60" s="910"/>
      <c r="Q60" s="910"/>
      <c r="R60" s="910"/>
      <c r="S60" s="910"/>
      <c r="T60" s="910"/>
      <c r="U60" s="910"/>
      <c r="V60" s="910"/>
    </row>
    <row r="61" spans="1:22" x14ac:dyDescent="0.25">
      <c r="A61" s="772"/>
      <c r="B61" s="767" t="str">
        <f t="shared" si="0"/>
        <v xml:space="preserve"> </v>
      </c>
      <c r="C61" s="768" t="str">
        <f t="shared" si="1"/>
        <v xml:space="preserve"> </v>
      </c>
      <c r="D61" s="486"/>
      <c r="E61" s="308" cm="1">
        <f t="array" ref="E61">_xlfn.XLOOKUP(A61&amp;D61, $A$562:$J$562&amp;$A$563:$J$563, $A$564:$J$564, " ")</f>
        <v>0</v>
      </c>
      <c r="F61" s="872" cm="1">
        <f t="array" ref="F61">_xlfn.XLOOKUP(A61&amp;D61, $A$562:$J$562&amp;$A$563:$J$563, $A$565:$J$565, " ")</f>
        <v>0</v>
      </c>
      <c r="G61" s="510"/>
      <c r="H61" s="840"/>
      <c r="I61" s="510"/>
      <c r="J61" s="510"/>
      <c r="K61" s="511"/>
      <c r="L61" s="510"/>
      <c r="M61" s="580"/>
      <c r="N61" s="580"/>
      <c r="O61" s="580"/>
      <c r="P61" s="910"/>
      <c r="Q61" s="910"/>
      <c r="R61" s="910"/>
      <c r="S61" s="910"/>
      <c r="T61" s="910"/>
      <c r="U61" s="910"/>
      <c r="V61" s="910"/>
    </row>
    <row r="62" spans="1:22" x14ac:dyDescent="0.25">
      <c r="A62" s="772"/>
      <c r="B62" s="767" t="str">
        <f t="shared" si="0"/>
        <v xml:space="preserve"> </v>
      </c>
      <c r="C62" s="768" t="str">
        <f t="shared" si="1"/>
        <v xml:space="preserve"> </v>
      </c>
      <c r="D62" s="486"/>
      <c r="E62" s="308" cm="1">
        <f t="array" ref="E62">_xlfn.XLOOKUP(A62&amp;D62, $A$562:$J$562&amp;$A$563:$J$563, $A$564:$J$564, " ")</f>
        <v>0</v>
      </c>
      <c r="F62" s="872" cm="1">
        <f t="array" ref="F62">_xlfn.XLOOKUP(A62&amp;D62, $A$562:$J$562&amp;$A$563:$J$563, $A$565:$J$565, " ")</f>
        <v>0</v>
      </c>
      <c r="G62" s="510"/>
      <c r="H62" s="840"/>
      <c r="I62" s="510"/>
      <c r="J62" s="510"/>
      <c r="K62" s="511"/>
      <c r="L62" s="510"/>
      <c r="M62" s="580"/>
      <c r="N62" s="580"/>
      <c r="O62" s="580"/>
      <c r="P62" s="910"/>
      <c r="Q62" s="910"/>
      <c r="R62" s="910"/>
      <c r="S62" s="910"/>
      <c r="T62" s="910"/>
      <c r="U62" s="910"/>
      <c r="V62" s="910"/>
    </row>
    <row r="63" spans="1:22" x14ac:dyDescent="0.25">
      <c r="A63" s="772"/>
      <c r="B63" s="767" t="str">
        <f t="shared" si="0"/>
        <v xml:space="preserve"> </v>
      </c>
      <c r="C63" s="768" t="str">
        <f t="shared" si="1"/>
        <v xml:space="preserve"> </v>
      </c>
      <c r="D63" s="486"/>
      <c r="E63" s="308" cm="1">
        <f t="array" ref="E63">_xlfn.XLOOKUP(A63&amp;D63, $A$562:$J$562&amp;$A$563:$J$563, $A$564:$J$564, " ")</f>
        <v>0</v>
      </c>
      <c r="F63" s="872" cm="1">
        <f t="array" ref="F63">_xlfn.XLOOKUP(A63&amp;D63, $A$562:$J$562&amp;$A$563:$J$563, $A$565:$J$565, " ")</f>
        <v>0</v>
      </c>
      <c r="G63" s="510"/>
      <c r="H63" s="840"/>
      <c r="I63" s="510"/>
      <c r="J63" s="510"/>
      <c r="K63" s="511"/>
      <c r="L63" s="510"/>
      <c r="M63" s="580"/>
      <c r="N63" s="580"/>
      <c r="O63" s="580"/>
      <c r="P63" s="910"/>
      <c r="Q63" s="910"/>
      <c r="R63" s="910"/>
      <c r="S63" s="910"/>
      <c r="T63" s="910"/>
      <c r="U63" s="910"/>
      <c r="V63" s="910"/>
    </row>
    <row r="64" spans="1:22" x14ac:dyDescent="0.25">
      <c r="A64" s="772"/>
      <c r="B64" s="767" t="str">
        <f t="shared" si="0"/>
        <v xml:space="preserve"> </v>
      </c>
      <c r="C64" s="768" t="str">
        <f t="shared" si="1"/>
        <v xml:space="preserve"> </v>
      </c>
      <c r="D64" s="486"/>
      <c r="E64" s="308" cm="1">
        <f t="array" ref="E64">_xlfn.XLOOKUP(A64&amp;D64, $A$562:$J$562&amp;$A$563:$J$563, $A$564:$J$564, " ")</f>
        <v>0</v>
      </c>
      <c r="F64" s="872" cm="1">
        <f t="array" ref="F64">_xlfn.XLOOKUP(A64&amp;D64, $A$562:$J$562&amp;$A$563:$J$563, $A$565:$J$565, " ")</f>
        <v>0</v>
      </c>
      <c r="G64" s="510"/>
      <c r="H64" s="840"/>
      <c r="I64" s="510"/>
      <c r="J64" s="510"/>
      <c r="K64" s="511"/>
      <c r="L64" s="510"/>
      <c r="M64" s="580"/>
      <c r="N64" s="580"/>
      <c r="O64" s="580"/>
      <c r="P64" s="910"/>
      <c r="Q64" s="910"/>
      <c r="R64" s="910"/>
      <c r="S64" s="910"/>
      <c r="T64" s="910"/>
      <c r="U64" s="910"/>
      <c r="V64" s="910"/>
    </row>
    <row r="65" spans="1:22" x14ac:dyDescent="0.25">
      <c r="A65" s="772"/>
      <c r="B65" s="767" t="str">
        <f t="shared" si="0"/>
        <v xml:space="preserve"> </v>
      </c>
      <c r="C65" s="768" t="str">
        <f t="shared" si="1"/>
        <v xml:space="preserve"> </v>
      </c>
      <c r="D65" s="486"/>
      <c r="E65" s="308" cm="1">
        <f t="array" ref="E65">_xlfn.XLOOKUP(A65&amp;D65, $A$562:$J$562&amp;$A$563:$J$563, $A$564:$J$564, " ")</f>
        <v>0</v>
      </c>
      <c r="F65" s="872" cm="1">
        <f t="array" ref="F65">_xlfn.XLOOKUP(A65&amp;D65, $A$562:$J$562&amp;$A$563:$J$563, $A$565:$J$565, " ")</f>
        <v>0</v>
      </c>
      <c r="G65" s="510"/>
      <c r="H65" s="840"/>
      <c r="I65" s="510"/>
      <c r="J65" s="510"/>
      <c r="K65" s="511"/>
      <c r="L65" s="510"/>
      <c r="M65" s="580"/>
      <c r="N65" s="580"/>
      <c r="O65" s="580"/>
      <c r="P65" s="910"/>
      <c r="Q65" s="910"/>
      <c r="R65" s="910"/>
      <c r="S65" s="910"/>
      <c r="T65" s="910"/>
      <c r="U65" s="910"/>
      <c r="V65" s="910"/>
    </row>
    <row r="66" spans="1:22" x14ac:dyDescent="0.25">
      <c r="A66" s="772"/>
      <c r="B66" s="767" t="str">
        <f t="shared" si="0"/>
        <v xml:space="preserve"> </v>
      </c>
      <c r="C66" s="768" t="str">
        <f t="shared" si="1"/>
        <v xml:space="preserve"> </v>
      </c>
      <c r="D66" s="486"/>
      <c r="E66" s="308" cm="1">
        <f t="array" ref="E66">_xlfn.XLOOKUP(A66&amp;D66, $A$562:$J$562&amp;$A$563:$J$563, $A$564:$J$564, " ")</f>
        <v>0</v>
      </c>
      <c r="F66" s="872" cm="1">
        <f t="array" ref="F66">_xlfn.XLOOKUP(A66&amp;D66, $A$562:$J$562&amp;$A$563:$J$563, $A$565:$J$565, " ")</f>
        <v>0</v>
      </c>
      <c r="G66" s="510"/>
      <c r="H66" s="840"/>
      <c r="I66" s="510"/>
      <c r="J66" s="510"/>
      <c r="K66" s="511"/>
      <c r="L66" s="510"/>
      <c r="M66" s="580"/>
      <c r="N66" s="580"/>
      <c r="O66" s="580"/>
      <c r="P66" s="910"/>
      <c r="Q66" s="910"/>
      <c r="R66" s="910"/>
      <c r="S66" s="910"/>
      <c r="T66" s="910"/>
      <c r="U66" s="910"/>
      <c r="V66" s="910"/>
    </row>
    <row r="67" spans="1:22" x14ac:dyDescent="0.25">
      <c r="A67" s="772"/>
      <c r="B67" s="767" t="str">
        <f t="shared" si="0"/>
        <v xml:space="preserve"> </v>
      </c>
      <c r="C67" s="768" t="str">
        <f t="shared" si="1"/>
        <v xml:space="preserve"> </v>
      </c>
      <c r="D67" s="486"/>
      <c r="E67" s="308" cm="1">
        <f t="array" ref="E67">_xlfn.XLOOKUP(A67&amp;D67, $A$562:$J$562&amp;$A$563:$J$563, $A$564:$J$564, " ")</f>
        <v>0</v>
      </c>
      <c r="F67" s="872" cm="1">
        <f t="array" ref="F67">_xlfn.XLOOKUP(A67&amp;D67, $A$562:$J$562&amp;$A$563:$J$563, $A$565:$J$565, " ")</f>
        <v>0</v>
      </c>
      <c r="G67" s="510"/>
      <c r="H67" s="840"/>
      <c r="I67" s="510"/>
      <c r="J67" s="510"/>
      <c r="K67" s="511"/>
      <c r="L67" s="510"/>
      <c r="M67" s="580"/>
      <c r="N67" s="580"/>
      <c r="O67" s="580"/>
      <c r="P67" s="910"/>
      <c r="Q67" s="910"/>
      <c r="R67" s="910"/>
      <c r="S67" s="910"/>
      <c r="T67" s="910"/>
      <c r="U67" s="910"/>
      <c r="V67" s="910"/>
    </row>
    <row r="68" spans="1:22" x14ac:dyDescent="0.25">
      <c r="A68" s="772"/>
      <c r="B68" s="767" t="str">
        <f t="shared" si="0"/>
        <v xml:space="preserve"> </v>
      </c>
      <c r="C68" s="768" t="str">
        <f t="shared" si="1"/>
        <v xml:space="preserve"> </v>
      </c>
      <c r="D68" s="486"/>
      <c r="E68" s="308" cm="1">
        <f t="array" ref="E68">_xlfn.XLOOKUP(A68&amp;D68, $A$562:$J$562&amp;$A$563:$J$563, $A$564:$J$564, " ")</f>
        <v>0</v>
      </c>
      <c r="F68" s="872" cm="1">
        <f t="array" ref="F68">_xlfn.XLOOKUP(A68&amp;D68, $A$562:$J$562&amp;$A$563:$J$563, $A$565:$J$565, " ")</f>
        <v>0</v>
      </c>
      <c r="G68" s="510"/>
      <c r="H68" s="840"/>
      <c r="I68" s="510"/>
      <c r="J68" s="510"/>
      <c r="K68" s="511"/>
      <c r="L68" s="510"/>
      <c r="M68" s="580"/>
      <c r="N68" s="580"/>
      <c r="O68" s="580"/>
      <c r="P68" s="910"/>
      <c r="Q68" s="910"/>
      <c r="R68" s="910"/>
      <c r="S68" s="910"/>
      <c r="T68" s="910"/>
      <c r="U68" s="910"/>
      <c r="V68" s="910"/>
    </row>
    <row r="69" spans="1:22" x14ac:dyDescent="0.25">
      <c r="A69" s="772"/>
      <c r="B69" s="767" t="str">
        <f t="shared" si="0"/>
        <v xml:space="preserve"> </v>
      </c>
      <c r="C69" s="768" t="str">
        <f t="shared" si="1"/>
        <v xml:space="preserve"> </v>
      </c>
      <c r="D69" s="486"/>
      <c r="E69" s="308" cm="1">
        <f t="array" ref="E69">_xlfn.XLOOKUP(A69&amp;D69, $A$562:$J$562&amp;$A$563:$J$563, $A$564:$J$564, " ")</f>
        <v>0</v>
      </c>
      <c r="F69" s="872" cm="1">
        <f t="array" ref="F69">_xlfn.XLOOKUP(A69&amp;D69, $A$562:$J$562&amp;$A$563:$J$563, $A$565:$J$565, " ")</f>
        <v>0</v>
      </c>
      <c r="G69" s="510"/>
      <c r="H69" s="840"/>
      <c r="I69" s="510"/>
      <c r="J69" s="510"/>
      <c r="K69" s="511"/>
      <c r="L69" s="510"/>
      <c r="M69" s="580"/>
      <c r="N69" s="580"/>
      <c r="O69" s="580"/>
      <c r="P69" s="910"/>
      <c r="Q69" s="910"/>
      <c r="R69" s="910"/>
      <c r="S69" s="910"/>
      <c r="T69" s="910"/>
      <c r="U69" s="910"/>
      <c r="V69" s="910"/>
    </row>
    <row r="70" spans="1:22" x14ac:dyDescent="0.25">
      <c r="A70" s="772"/>
      <c r="B70" s="767" t="str">
        <f t="shared" si="0"/>
        <v xml:space="preserve"> </v>
      </c>
      <c r="C70" s="768" t="str">
        <f t="shared" si="1"/>
        <v xml:space="preserve"> </v>
      </c>
      <c r="D70" s="486"/>
      <c r="E70" s="308" cm="1">
        <f t="array" ref="E70">_xlfn.XLOOKUP(A70&amp;D70, $A$562:$J$562&amp;$A$563:$J$563, $A$564:$J$564, " ")</f>
        <v>0</v>
      </c>
      <c r="F70" s="872" cm="1">
        <f t="array" ref="F70">_xlfn.XLOOKUP(A70&amp;D70, $A$562:$J$562&amp;$A$563:$J$563, $A$565:$J$565, " ")</f>
        <v>0</v>
      </c>
      <c r="G70" s="510"/>
      <c r="H70" s="840"/>
      <c r="I70" s="510"/>
      <c r="J70" s="510"/>
      <c r="K70" s="511"/>
      <c r="L70" s="510"/>
      <c r="M70" s="580"/>
      <c r="N70" s="580"/>
      <c r="O70" s="580"/>
      <c r="P70" s="910"/>
      <c r="Q70" s="910"/>
      <c r="R70" s="910"/>
      <c r="S70" s="910"/>
      <c r="T70" s="910"/>
      <c r="U70" s="910"/>
      <c r="V70" s="910"/>
    </row>
    <row r="71" spans="1:22" x14ac:dyDescent="0.25">
      <c r="A71" s="772"/>
      <c r="B71" s="767" t="str">
        <f t="shared" si="0"/>
        <v xml:space="preserve"> </v>
      </c>
      <c r="C71" s="768" t="str">
        <f t="shared" si="1"/>
        <v xml:space="preserve"> </v>
      </c>
      <c r="D71" s="486"/>
      <c r="E71" s="308" cm="1">
        <f t="array" ref="E71">_xlfn.XLOOKUP(A71&amp;D71, $A$562:$J$562&amp;$A$563:$J$563, $A$564:$J$564, " ")</f>
        <v>0</v>
      </c>
      <c r="F71" s="872" cm="1">
        <f t="array" ref="F71">_xlfn.XLOOKUP(A71&amp;D71, $A$562:$J$562&amp;$A$563:$J$563, $A$565:$J$565, " ")</f>
        <v>0</v>
      </c>
      <c r="G71" s="510"/>
      <c r="H71" s="840"/>
      <c r="I71" s="510"/>
      <c r="J71" s="510"/>
      <c r="K71" s="511"/>
      <c r="L71" s="510"/>
      <c r="M71" s="580"/>
      <c r="N71" s="580"/>
      <c r="O71" s="580"/>
      <c r="P71" s="910"/>
      <c r="Q71" s="910"/>
      <c r="R71" s="910"/>
      <c r="S71" s="910"/>
      <c r="T71" s="910"/>
      <c r="U71" s="910"/>
      <c r="V71" s="910"/>
    </row>
    <row r="72" spans="1:22" x14ac:dyDescent="0.25">
      <c r="A72" s="772"/>
      <c r="B72" s="767" t="str">
        <f t="shared" si="0"/>
        <v xml:space="preserve"> </v>
      </c>
      <c r="C72" s="768" t="str">
        <f t="shared" si="1"/>
        <v xml:space="preserve"> </v>
      </c>
      <c r="D72" s="486"/>
      <c r="E72" s="308" cm="1">
        <f t="array" ref="E72">_xlfn.XLOOKUP(A72&amp;D72, $A$562:$J$562&amp;$A$563:$J$563, $A$564:$J$564, " ")</f>
        <v>0</v>
      </c>
      <c r="F72" s="872" cm="1">
        <f t="array" ref="F72">_xlfn.XLOOKUP(A72&amp;D72, $A$562:$J$562&amp;$A$563:$J$563, $A$565:$J$565, " ")</f>
        <v>0</v>
      </c>
      <c r="G72" s="510"/>
      <c r="H72" s="840"/>
      <c r="I72" s="510"/>
      <c r="J72" s="510"/>
      <c r="K72" s="511"/>
      <c r="L72" s="510"/>
      <c r="M72" s="580"/>
      <c r="N72" s="580"/>
      <c r="O72" s="580"/>
      <c r="P72" s="910"/>
      <c r="Q72" s="910"/>
      <c r="R72" s="910"/>
      <c r="S72" s="910"/>
      <c r="T72" s="910"/>
      <c r="U72" s="910"/>
      <c r="V72" s="910"/>
    </row>
    <row r="73" spans="1:22" x14ac:dyDescent="0.25">
      <c r="A73" s="772"/>
      <c r="B73" s="767" t="str">
        <f t="shared" si="0"/>
        <v xml:space="preserve"> </v>
      </c>
      <c r="C73" s="768" t="str">
        <f t="shared" si="1"/>
        <v xml:space="preserve"> </v>
      </c>
      <c r="D73" s="486"/>
      <c r="E73" s="308" cm="1">
        <f t="array" ref="E73">_xlfn.XLOOKUP(A73&amp;D73, $A$562:$J$562&amp;$A$563:$J$563, $A$564:$J$564, " ")</f>
        <v>0</v>
      </c>
      <c r="F73" s="872" cm="1">
        <f t="array" ref="F73">_xlfn.XLOOKUP(A73&amp;D73, $A$562:$J$562&amp;$A$563:$J$563, $A$565:$J$565, " ")</f>
        <v>0</v>
      </c>
      <c r="G73" s="510"/>
      <c r="H73" s="840"/>
      <c r="I73" s="510"/>
      <c r="J73" s="510"/>
      <c r="K73" s="511"/>
      <c r="L73" s="510"/>
      <c r="M73" s="580"/>
      <c r="N73" s="580"/>
      <c r="O73" s="580"/>
      <c r="P73" s="910"/>
      <c r="Q73" s="910"/>
      <c r="R73" s="910"/>
      <c r="S73" s="910"/>
      <c r="T73" s="910"/>
      <c r="U73" s="910"/>
      <c r="V73" s="910"/>
    </row>
    <row r="74" spans="1:22" x14ac:dyDescent="0.25">
      <c r="A74" s="772"/>
      <c r="B74" s="767" t="str">
        <f t="shared" si="0"/>
        <v xml:space="preserve"> </v>
      </c>
      <c r="C74" s="768" t="str">
        <f t="shared" si="1"/>
        <v xml:space="preserve"> </v>
      </c>
      <c r="D74" s="486"/>
      <c r="E74" s="308" cm="1">
        <f t="array" ref="E74">_xlfn.XLOOKUP(A74&amp;D74, $A$562:$J$562&amp;$A$563:$J$563, $A$564:$J$564, " ")</f>
        <v>0</v>
      </c>
      <c r="F74" s="872" cm="1">
        <f t="array" ref="F74">_xlfn.XLOOKUP(A74&amp;D74, $A$562:$J$562&amp;$A$563:$J$563, $A$565:$J$565, " ")</f>
        <v>0</v>
      </c>
      <c r="G74" s="510"/>
      <c r="H74" s="840"/>
      <c r="I74" s="510"/>
      <c r="J74" s="510"/>
      <c r="K74" s="511"/>
      <c r="L74" s="510"/>
      <c r="M74" s="580"/>
      <c r="N74" s="580"/>
      <c r="O74" s="580"/>
      <c r="P74" s="910"/>
      <c r="Q74" s="910"/>
      <c r="R74" s="910"/>
      <c r="S74" s="910"/>
      <c r="T74" s="910"/>
      <c r="U74" s="910"/>
      <c r="V74" s="910"/>
    </row>
    <row r="75" spans="1:22" x14ac:dyDescent="0.25">
      <c r="A75" s="772"/>
      <c r="B75" s="767" t="str">
        <f t="shared" ref="B75:B138" si="2">IF(ISBLANK(A75), " ", _xlfn.XLOOKUP(A75,$A$552:$C$552,$A$553:$C$553))</f>
        <v xml:space="preserve"> </v>
      </c>
      <c r="C75" s="768" t="str">
        <f t="shared" ref="C75:C138" si="3">IF(ISBLANK(A75), " ", _xlfn.XLOOKUP(A75,$A$552:$C$552,$A$554:$C$554))</f>
        <v xml:space="preserve"> </v>
      </c>
      <c r="D75" s="486"/>
      <c r="E75" s="308" cm="1">
        <f t="array" ref="E75">_xlfn.XLOOKUP(A75&amp;D75, $A$562:$J$562&amp;$A$563:$J$563, $A$564:$J$564, " ")</f>
        <v>0</v>
      </c>
      <c r="F75" s="872" cm="1">
        <f t="array" ref="F75">_xlfn.XLOOKUP(A75&amp;D75, $A$562:$J$562&amp;$A$563:$J$563, $A$565:$J$565, " ")</f>
        <v>0</v>
      </c>
      <c r="G75" s="510"/>
      <c r="H75" s="840"/>
      <c r="I75" s="510"/>
      <c r="J75" s="510"/>
      <c r="K75" s="511"/>
      <c r="L75" s="510"/>
      <c r="M75" s="580"/>
      <c r="N75" s="580"/>
      <c r="O75" s="580"/>
      <c r="P75" s="910"/>
      <c r="Q75" s="910"/>
      <c r="R75" s="910"/>
      <c r="S75" s="910"/>
      <c r="T75" s="910"/>
      <c r="U75" s="910"/>
      <c r="V75" s="910"/>
    </row>
    <row r="76" spans="1:22" x14ac:dyDescent="0.25">
      <c r="A76" s="772"/>
      <c r="B76" s="767" t="str">
        <f t="shared" si="2"/>
        <v xml:space="preserve"> </v>
      </c>
      <c r="C76" s="768" t="str">
        <f t="shared" si="3"/>
        <v xml:space="preserve"> </v>
      </c>
      <c r="D76" s="486"/>
      <c r="E76" s="308" cm="1">
        <f t="array" ref="E76">_xlfn.XLOOKUP(A76&amp;D76, $A$562:$J$562&amp;$A$563:$J$563, $A$564:$J$564, " ")</f>
        <v>0</v>
      </c>
      <c r="F76" s="872" cm="1">
        <f t="array" ref="F76">_xlfn.XLOOKUP(A76&amp;D76, $A$562:$J$562&amp;$A$563:$J$563, $A$565:$J$565, " ")</f>
        <v>0</v>
      </c>
      <c r="G76" s="510"/>
      <c r="H76" s="840"/>
      <c r="I76" s="510"/>
      <c r="J76" s="510"/>
      <c r="K76" s="511"/>
      <c r="L76" s="510"/>
      <c r="M76" s="580"/>
      <c r="N76" s="580"/>
      <c r="O76" s="580"/>
      <c r="P76" s="910"/>
      <c r="Q76" s="910"/>
      <c r="R76" s="910"/>
      <c r="S76" s="910"/>
      <c r="T76" s="910"/>
      <c r="U76" s="910"/>
      <c r="V76" s="910"/>
    </row>
    <row r="77" spans="1:22" x14ac:dyDescent="0.25">
      <c r="A77" s="772"/>
      <c r="B77" s="767" t="str">
        <f t="shared" si="2"/>
        <v xml:space="preserve"> </v>
      </c>
      <c r="C77" s="768" t="str">
        <f t="shared" si="3"/>
        <v xml:space="preserve"> </v>
      </c>
      <c r="D77" s="486"/>
      <c r="E77" s="308" cm="1">
        <f t="array" ref="E77">_xlfn.XLOOKUP(A77&amp;D77, $A$562:$J$562&amp;$A$563:$J$563, $A$564:$J$564, " ")</f>
        <v>0</v>
      </c>
      <c r="F77" s="872" cm="1">
        <f t="array" ref="F77">_xlfn.XLOOKUP(A77&amp;D77, $A$562:$J$562&amp;$A$563:$J$563, $A$565:$J$565, " ")</f>
        <v>0</v>
      </c>
      <c r="G77" s="510"/>
      <c r="H77" s="840"/>
      <c r="I77" s="510"/>
      <c r="J77" s="510"/>
      <c r="K77" s="511"/>
      <c r="L77" s="510"/>
      <c r="M77" s="580"/>
      <c r="N77" s="580"/>
      <c r="O77" s="580"/>
      <c r="P77" s="910"/>
      <c r="Q77" s="910"/>
      <c r="R77" s="910"/>
      <c r="S77" s="910"/>
      <c r="T77" s="910"/>
      <c r="U77" s="910"/>
      <c r="V77" s="910"/>
    </row>
    <row r="78" spans="1:22" x14ac:dyDescent="0.25">
      <c r="A78" s="772"/>
      <c r="B78" s="767" t="str">
        <f t="shared" si="2"/>
        <v xml:space="preserve"> </v>
      </c>
      <c r="C78" s="768" t="str">
        <f t="shared" si="3"/>
        <v xml:space="preserve"> </v>
      </c>
      <c r="D78" s="486"/>
      <c r="E78" s="308" cm="1">
        <f t="array" ref="E78">_xlfn.XLOOKUP(A78&amp;D78, $A$562:$J$562&amp;$A$563:$J$563, $A$564:$J$564, " ")</f>
        <v>0</v>
      </c>
      <c r="F78" s="872" cm="1">
        <f t="array" ref="F78">_xlfn.XLOOKUP(A78&amp;D78, $A$562:$J$562&amp;$A$563:$J$563, $A$565:$J$565, " ")</f>
        <v>0</v>
      </c>
      <c r="G78" s="510"/>
      <c r="H78" s="840"/>
      <c r="I78" s="510"/>
      <c r="J78" s="510"/>
      <c r="K78" s="511"/>
      <c r="L78" s="510"/>
      <c r="M78" s="580"/>
      <c r="N78" s="580"/>
      <c r="O78" s="580"/>
      <c r="P78" s="910"/>
      <c r="Q78" s="910"/>
      <c r="R78" s="910"/>
      <c r="S78" s="910"/>
      <c r="T78" s="910"/>
      <c r="U78" s="910"/>
      <c r="V78" s="910"/>
    </row>
    <row r="79" spans="1:22" x14ac:dyDescent="0.25">
      <c r="A79" s="772"/>
      <c r="B79" s="767" t="str">
        <f t="shared" si="2"/>
        <v xml:space="preserve"> </v>
      </c>
      <c r="C79" s="768" t="str">
        <f t="shared" si="3"/>
        <v xml:space="preserve"> </v>
      </c>
      <c r="D79" s="486"/>
      <c r="E79" s="308" cm="1">
        <f t="array" ref="E79">_xlfn.XLOOKUP(A79&amp;D79, $A$562:$J$562&amp;$A$563:$J$563, $A$564:$J$564, " ")</f>
        <v>0</v>
      </c>
      <c r="F79" s="872" cm="1">
        <f t="array" ref="F79">_xlfn.XLOOKUP(A79&amp;D79, $A$562:$J$562&amp;$A$563:$J$563, $A$565:$J$565, " ")</f>
        <v>0</v>
      </c>
      <c r="G79" s="510"/>
      <c r="H79" s="840"/>
      <c r="I79" s="510"/>
      <c r="J79" s="510"/>
      <c r="K79" s="511"/>
      <c r="L79" s="510"/>
      <c r="M79" s="580"/>
      <c r="N79" s="580"/>
      <c r="O79" s="580"/>
      <c r="P79" s="910"/>
      <c r="Q79" s="910"/>
      <c r="R79" s="910"/>
      <c r="S79" s="910"/>
      <c r="T79" s="910"/>
      <c r="U79" s="910"/>
      <c r="V79" s="910"/>
    </row>
    <row r="80" spans="1:22" x14ac:dyDescent="0.25">
      <c r="A80" s="772"/>
      <c r="B80" s="767" t="str">
        <f t="shared" si="2"/>
        <v xml:space="preserve"> </v>
      </c>
      <c r="C80" s="768" t="str">
        <f t="shared" si="3"/>
        <v xml:space="preserve"> </v>
      </c>
      <c r="D80" s="486"/>
      <c r="E80" s="308" cm="1">
        <f t="array" ref="E80">_xlfn.XLOOKUP(A80&amp;D80, $A$562:$J$562&amp;$A$563:$J$563, $A$564:$J$564, " ")</f>
        <v>0</v>
      </c>
      <c r="F80" s="872" cm="1">
        <f t="array" ref="F80">_xlfn.XLOOKUP(A80&amp;D80, $A$562:$J$562&amp;$A$563:$J$563, $A$565:$J$565, " ")</f>
        <v>0</v>
      </c>
      <c r="G80" s="510"/>
      <c r="H80" s="840"/>
      <c r="I80" s="510"/>
      <c r="J80" s="510"/>
      <c r="K80" s="511"/>
      <c r="L80" s="510"/>
      <c r="M80" s="580"/>
      <c r="N80" s="580"/>
      <c r="O80" s="580"/>
      <c r="P80" s="910"/>
      <c r="Q80" s="910"/>
      <c r="R80" s="910"/>
      <c r="S80" s="910"/>
      <c r="T80" s="910"/>
      <c r="U80" s="910"/>
      <c r="V80" s="910"/>
    </row>
    <row r="81" spans="1:22" x14ac:dyDescent="0.25">
      <c r="A81" s="772"/>
      <c r="B81" s="767" t="str">
        <f t="shared" si="2"/>
        <v xml:space="preserve"> </v>
      </c>
      <c r="C81" s="768" t="str">
        <f t="shared" si="3"/>
        <v xml:space="preserve"> </v>
      </c>
      <c r="D81" s="486"/>
      <c r="E81" s="308" cm="1">
        <f t="array" ref="E81">_xlfn.XLOOKUP(A81&amp;D81, $A$562:$J$562&amp;$A$563:$J$563, $A$564:$J$564, " ")</f>
        <v>0</v>
      </c>
      <c r="F81" s="872" cm="1">
        <f t="array" ref="F81">_xlfn.XLOOKUP(A81&amp;D81, $A$562:$J$562&amp;$A$563:$J$563, $A$565:$J$565, " ")</f>
        <v>0</v>
      </c>
      <c r="G81" s="510"/>
      <c r="H81" s="840"/>
      <c r="I81" s="510"/>
      <c r="J81" s="510"/>
      <c r="K81" s="511"/>
      <c r="L81" s="510"/>
      <c r="M81" s="580"/>
      <c r="N81" s="580"/>
      <c r="O81" s="580"/>
      <c r="P81" s="910"/>
      <c r="Q81" s="910"/>
      <c r="R81" s="910"/>
      <c r="S81" s="910"/>
      <c r="T81" s="910"/>
      <c r="U81" s="910"/>
      <c r="V81" s="910"/>
    </row>
    <row r="82" spans="1:22" x14ac:dyDescent="0.25">
      <c r="A82" s="772"/>
      <c r="B82" s="767" t="str">
        <f t="shared" si="2"/>
        <v xml:space="preserve"> </v>
      </c>
      <c r="C82" s="768" t="str">
        <f t="shared" si="3"/>
        <v xml:space="preserve"> </v>
      </c>
      <c r="D82" s="486"/>
      <c r="E82" s="308" cm="1">
        <f t="array" ref="E82">_xlfn.XLOOKUP(A82&amp;D82, $A$562:$J$562&amp;$A$563:$J$563, $A$564:$J$564, " ")</f>
        <v>0</v>
      </c>
      <c r="F82" s="872" cm="1">
        <f t="array" ref="F82">_xlfn.XLOOKUP(A82&amp;D82, $A$562:$J$562&amp;$A$563:$J$563, $A$565:$J$565, " ")</f>
        <v>0</v>
      </c>
      <c r="G82" s="510"/>
      <c r="H82" s="840"/>
      <c r="I82" s="510"/>
      <c r="J82" s="510"/>
      <c r="K82" s="511"/>
      <c r="L82" s="510"/>
      <c r="M82" s="580"/>
      <c r="N82" s="580"/>
      <c r="O82" s="580"/>
      <c r="P82" s="910"/>
      <c r="Q82" s="910"/>
      <c r="R82" s="910"/>
      <c r="S82" s="910"/>
      <c r="T82" s="910"/>
      <c r="U82" s="910"/>
      <c r="V82" s="910"/>
    </row>
    <row r="83" spans="1:22" x14ac:dyDescent="0.25">
      <c r="A83" s="772"/>
      <c r="B83" s="767" t="str">
        <f t="shared" si="2"/>
        <v xml:space="preserve"> </v>
      </c>
      <c r="C83" s="768" t="str">
        <f t="shared" si="3"/>
        <v xml:space="preserve"> </v>
      </c>
      <c r="D83" s="486"/>
      <c r="E83" s="308" cm="1">
        <f t="array" ref="E83">_xlfn.XLOOKUP(A83&amp;D83, $A$562:$J$562&amp;$A$563:$J$563, $A$564:$J$564, " ")</f>
        <v>0</v>
      </c>
      <c r="F83" s="872" cm="1">
        <f t="array" ref="F83">_xlfn.XLOOKUP(A83&amp;D83, $A$562:$J$562&amp;$A$563:$J$563, $A$565:$J$565, " ")</f>
        <v>0</v>
      </c>
      <c r="G83" s="510"/>
      <c r="H83" s="840"/>
      <c r="I83" s="510"/>
      <c r="J83" s="510"/>
      <c r="K83" s="511"/>
      <c r="L83" s="510"/>
      <c r="M83" s="580"/>
      <c r="N83" s="580"/>
      <c r="O83" s="580"/>
      <c r="P83" s="910"/>
      <c r="Q83" s="910"/>
      <c r="R83" s="910"/>
      <c r="S83" s="910"/>
      <c r="T83" s="910"/>
      <c r="U83" s="910"/>
      <c r="V83" s="910"/>
    </row>
    <row r="84" spans="1:22" x14ac:dyDescent="0.25">
      <c r="A84" s="772"/>
      <c r="B84" s="767" t="str">
        <f t="shared" si="2"/>
        <v xml:space="preserve"> </v>
      </c>
      <c r="C84" s="768" t="str">
        <f t="shared" si="3"/>
        <v xml:space="preserve"> </v>
      </c>
      <c r="D84" s="486"/>
      <c r="E84" s="308" cm="1">
        <f t="array" ref="E84">_xlfn.XLOOKUP(A84&amp;D84, $A$562:$J$562&amp;$A$563:$J$563, $A$564:$J$564, " ")</f>
        <v>0</v>
      </c>
      <c r="F84" s="872" cm="1">
        <f t="array" ref="F84">_xlfn.XLOOKUP(A84&amp;D84, $A$562:$J$562&amp;$A$563:$J$563, $A$565:$J$565, " ")</f>
        <v>0</v>
      </c>
      <c r="G84" s="510"/>
      <c r="H84" s="840"/>
      <c r="I84" s="510"/>
      <c r="J84" s="510"/>
      <c r="K84" s="511"/>
      <c r="L84" s="510"/>
      <c r="M84" s="580"/>
      <c r="N84" s="580"/>
      <c r="O84" s="580"/>
      <c r="P84" s="910"/>
      <c r="Q84" s="910"/>
      <c r="R84" s="910"/>
      <c r="S84" s="910"/>
      <c r="T84" s="910"/>
      <c r="U84" s="910"/>
      <c r="V84" s="910"/>
    </row>
    <row r="85" spans="1:22" x14ac:dyDescent="0.25">
      <c r="A85" s="772"/>
      <c r="B85" s="767" t="str">
        <f t="shared" si="2"/>
        <v xml:space="preserve"> </v>
      </c>
      <c r="C85" s="768" t="str">
        <f t="shared" si="3"/>
        <v xml:space="preserve"> </v>
      </c>
      <c r="D85" s="486"/>
      <c r="E85" s="308" cm="1">
        <f t="array" ref="E85">_xlfn.XLOOKUP(A85&amp;D85, $A$562:$J$562&amp;$A$563:$J$563, $A$564:$J$564, " ")</f>
        <v>0</v>
      </c>
      <c r="F85" s="872" cm="1">
        <f t="array" ref="F85">_xlfn.XLOOKUP(A85&amp;D85, $A$562:$J$562&amp;$A$563:$J$563, $A$565:$J$565, " ")</f>
        <v>0</v>
      </c>
      <c r="G85" s="510"/>
      <c r="H85" s="840"/>
      <c r="I85" s="510"/>
      <c r="J85" s="510"/>
      <c r="K85" s="511"/>
      <c r="L85" s="510"/>
      <c r="M85" s="580"/>
      <c r="N85" s="580"/>
      <c r="O85" s="580"/>
      <c r="P85" s="910"/>
      <c r="Q85" s="910"/>
      <c r="R85" s="910"/>
      <c r="S85" s="910"/>
      <c r="T85" s="910"/>
      <c r="U85" s="910"/>
      <c r="V85" s="910"/>
    </row>
    <row r="86" spans="1:22" x14ac:dyDescent="0.25">
      <c r="A86" s="772"/>
      <c r="B86" s="767" t="str">
        <f t="shared" si="2"/>
        <v xml:space="preserve"> </v>
      </c>
      <c r="C86" s="768" t="str">
        <f t="shared" si="3"/>
        <v xml:space="preserve"> </v>
      </c>
      <c r="D86" s="486"/>
      <c r="E86" s="308" cm="1">
        <f t="array" ref="E86">_xlfn.XLOOKUP(A86&amp;D86, $A$562:$J$562&amp;$A$563:$J$563, $A$564:$J$564, " ")</f>
        <v>0</v>
      </c>
      <c r="F86" s="872" cm="1">
        <f t="array" ref="F86">_xlfn.XLOOKUP(A86&amp;D86, $A$562:$J$562&amp;$A$563:$J$563, $A$565:$J$565, " ")</f>
        <v>0</v>
      </c>
      <c r="G86" s="510"/>
      <c r="H86" s="840"/>
      <c r="I86" s="510"/>
      <c r="J86" s="510"/>
      <c r="K86" s="511"/>
      <c r="L86" s="510"/>
      <c r="M86" s="580"/>
      <c r="N86" s="580"/>
      <c r="O86" s="580"/>
      <c r="P86" s="910"/>
      <c r="Q86" s="910"/>
      <c r="R86" s="910"/>
      <c r="S86" s="910"/>
      <c r="T86" s="910"/>
      <c r="U86" s="910"/>
      <c r="V86" s="910"/>
    </row>
    <row r="87" spans="1:22" x14ac:dyDescent="0.25">
      <c r="A87" s="772"/>
      <c r="B87" s="767" t="str">
        <f t="shared" si="2"/>
        <v xml:space="preserve"> </v>
      </c>
      <c r="C87" s="768" t="str">
        <f t="shared" si="3"/>
        <v xml:space="preserve"> </v>
      </c>
      <c r="D87" s="486"/>
      <c r="E87" s="308" cm="1">
        <f t="array" ref="E87">_xlfn.XLOOKUP(A87&amp;D87, $A$562:$J$562&amp;$A$563:$J$563, $A$564:$J$564, " ")</f>
        <v>0</v>
      </c>
      <c r="F87" s="872" cm="1">
        <f t="array" ref="F87">_xlfn.XLOOKUP(A87&amp;D87, $A$562:$J$562&amp;$A$563:$J$563, $A$565:$J$565, " ")</f>
        <v>0</v>
      </c>
      <c r="G87" s="510"/>
      <c r="H87" s="840"/>
      <c r="I87" s="510"/>
      <c r="J87" s="510"/>
      <c r="K87" s="511"/>
      <c r="L87" s="510"/>
      <c r="M87" s="580"/>
      <c r="N87" s="580"/>
      <c r="O87" s="580"/>
      <c r="P87" s="910"/>
      <c r="Q87" s="910"/>
      <c r="R87" s="910"/>
      <c r="S87" s="910"/>
      <c r="T87" s="910"/>
      <c r="U87" s="910"/>
      <c r="V87" s="910"/>
    </row>
    <row r="88" spans="1:22" x14ac:dyDescent="0.25">
      <c r="A88" s="772"/>
      <c r="B88" s="767" t="str">
        <f t="shared" si="2"/>
        <v xml:space="preserve"> </v>
      </c>
      <c r="C88" s="768" t="str">
        <f t="shared" si="3"/>
        <v xml:space="preserve"> </v>
      </c>
      <c r="D88" s="486"/>
      <c r="E88" s="308" cm="1">
        <f t="array" ref="E88">_xlfn.XLOOKUP(A88&amp;D88, $A$562:$J$562&amp;$A$563:$J$563, $A$564:$J$564, " ")</f>
        <v>0</v>
      </c>
      <c r="F88" s="872" cm="1">
        <f t="array" ref="F88">_xlfn.XLOOKUP(A88&amp;D88, $A$562:$J$562&amp;$A$563:$J$563, $A$565:$J$565, " ")</f>
        <v>0</v>
      </c>
      <c r="G88" s="510"/>
      <c r="H88" s="840"/>
      <c r="I88" s="510"/>
      <c r="J88" s="510"/>
      <c r="K88" s="511"/>
      <c r="L88" s="510"/>
      <c r="M88" s="580"/>
      <c r="N88" s="580"/>
      <c r="O88" s="580"/>
      <c r="P88" s="910"/>
      <c r="Q88" s="910"/>
      <c r="R88" s="910"/>
      <c r="S88" s="910"/>
      <c r="T88" s="910"/>
      <c r="U88" s="910"/>
      <c r="V88" s="910"/>
    </row>
    <row r="89" spans="1:22" x14ac:dyDescent="0.25">
      <c r="A89" s="772"/>
      <c r="B89" s="767" t="str">
        <f t="shared" si="2"/>
        <v xml:space="preserve"> </v>
      </c>
      <c r="C89" s="768" t="str">
        <f t="shared" si="3"/>
        <v xml:space="preserve"> </v>
      </c>
      <c r="D89" s="486"/>
      <c r="E89" s="308" cm="1">
        <f t="array" ref="E89">_xlfn.XLOOKUP(A89&amp;D89, $A$562:$J$562&amp;$A$563:$J$563, $A$564:$J$564, " ")</f>
        <v>0</v>
      </c>
      <c r="F89" s="872" cm="1">
        <f t="array" ref="F89">_xlfn.XLOOKUP(A89&amp;D89, $A$562:$J$562&amp;$A$563:$J$563, $A$565:$J$565, " ")</f>
        <v>0</v>
      </c>
      <c r="G89" s="510"/>
      <c r="H89" s="840"/>
      <c r="I89" s="510"/>
      <c r="J89" s="510"/>
      <c r="K89" s="511"/>
      <c r="L89" s="510"/>
      <c r="M89" s="580"/>
      <c r="N89" s="580"/>
      <c r="O89" s="580"/>
      <c r="P89" s="910"/>
      <c r="Q89" s="910"/>
      <c r="R89" s="910"/>
      <c r="S89" s="910"/>
      <c r="T89" s="910"/>
      <c r="U89" s="910"/>
      <c r="V89" s="910"/>
    </row>
    <row r="90" spans="1:22" x14ac:dyDescent="0.25">
      <c r="A90" s="772"/>
      <c r="B90" s="767" t="str">
        <f t="shared" si="2"/>
        <v xml:space="preserve"> </v>
      </c>
      <c r="C90" s="768" t="str">
        <f t="shared" si="3"/>
        <v xml:space="preserve"> </v>
      </c>
      <c r="D90" s="486"/>
      <c r="E90" s="308" cm="1">
        <f t="array" ref="E90">_xlfn.XLOOKUP(A90&amp;D90, $A$562:$J$562&amp;$A$563:$J$563, $A$564:$J$564, " ")</f>
        <v>0</v>
      </c>
      <c r="F90" s="872" cm="1">
        <f t="array" ref="F90">_xlfn.XLOOKUP(A90&amp;D90, $A$562:$J$562&amp;$A$563:$J$563, $A$565:$J$565, " ")</f>
        <v>0</v>
      </c>
      <c r="G90" s="510"/>
      <c r="H90" s="840"/>
      <c r="I90" s="510"/>
      <c r="J90" s="510"/>
      <c r="K90" s="511"/>
      <c r="L90" s="510"/>
      <c r="M90" s="580"/>
      <c r="N90" s="580"/>
      <c r="O90" s="580"/>
      <c r="P90" s="910"/>
      <c r="Q90" s="910"/>
      <c r="R90" s="910"/>
      <c r="S90" s="910"/>
      <c r="T90" s="910"/>
      <c r="U90" s="910"/>
      <c r="V90" s="910"/>
    </row>
    <row r="91" spans="1:22" x14ac:dyDescent="0.25">
      <c r="A91" s="772"/>
      <c r="B91" s="767" t="str">
        <f t="shared" si="2"/>
        <v xml:space="preserve"> </v>
      </c>
      <c r="C91" s="768" t="str">
        <f t="shared" si="3"/>
        <v xml:space="preserve"> </v>
      </c>
      <c r="D91" s="486"/>
      <c r="E91" s="308" cm="1">
        <f t="array" ref="E91">_xlfn.XLOOKUP(A91&amp;D91, $A$562:$J$562&amp;$A$563:$J$563, $A$564:$J$564, " ")</f>
        <v>0</v>
      </c>
      <c r="F91" s="872" cm="1">
        <f t="array" ref="F91">_xlfn.XLOOKUP(A91&amp;D91, $A$562:$J$562&amp;$A$563:$J$563, $A$565:$J$565, " ")</f>
        <v>0</v>
      </c>
      <c r="G91" s="510"/>
      <c r="H91" s="840"/>
      <c r="I91" s="510"/>
      <c r="J91" s="510"/>
      <c r="K91" s="511"/>
      <c r="L91" s="510"/>
      <c r="M91" s="580"/>
      <c r="N91" s="580"/>
      <c r="O91" s="580"/>
      <c r="P91" s="910"/>
      <c r="Q91" s="910"/>
      <c r="R91" s="910"/>
      <c r="S91" s="910"/>
      <c r="T91" s="910"/>
      <c r="U91" s="910"/>
      <c r="V91" s="910"/>
    </row>
    <row r="92" spans="1:22" x14ac:dyDescent="0.25">
      <c r="A92" s="772"/>
      <c r="B92" s="767" t="str">
        <f t="shared" si="2"/>
        <v xml:space="preserve"> </v>
      </c>
      <c r="C92" s="768" t="str">
        <f t="shared" si="3"/>
        <v xml:space="preserve"> </v>
      </c>
      <c r="D92" s="486"/>
      <c r="E92" s="308" cm="1">
        <f t="array" ref="E92">_xlfn.XLOOKUP(A92&amp;D92, $A$562:$J$562&amp;$A$563:$J$563, $A$564:$J$564, " ")</f>
        <v>0</v>
      </c>
      <c r="F92" s="872" cm="1">
        <f t="array" ref="F92">_xlfn.XLOOKUP(A92&amp;D92, $A$562:$J$562&amp;$A$563:$J$563, $A$565:$J$565, " ")</f>
        <v>0</v>
      </c>
      <c r="G92" s="510"/>
      <c r="H92" s="840"/>
      <c r="I92" s="510"/>
      <c r="J92" s="510"/>
      <c r="K92" s="511"/>
      <c r="L92" s="510"/>
      <c r="M92" s="580"/>
      <c r="N92" s="580"/>
      <c r="O92" s="580"/>
      <c r="P92" s="910"/>
      <c r="Q92" s="910"/>
      <c r="R92" s="910"/>
      <c r="S92" s="910"/>
      <c r="T92" s="910"/>
      <c r="U92" s="910"/>
      <c r="V92" s="910"/>
    </row>
    <row r="93" spans="1:22" x14ac:dyDescent="0.25">
      <c r="A93" s="772"/>
      <c r="B93" s="767" t="str">
        <f t="shared" si="2"/>
        <v xml:space="preserve"> </v>
      </c>
      <c r="C93" s="768" t="str">
        <f t="shared" si="3"/>
        <v xml:space="preserve"> </v>
      </c>
      <c r="D93" s="486"/>
      <c r="E93" s="308" cm="1">
        <f t="array" ref="E93">_xlfn.XLOOKUP(A93&amp;D93, $A$562:$J$562&amp;$A$563:$J$563, $A$564:$J$564, " ")</f>
        <v>0</v>
      </c>
      <c r="F93" s="872" cm="1">
        <f t="array" ref="F93">_xlfn.XLOOKUP(A93&amp;D93, $A$562:$J$562&amp;$A$563:$J$563, $A$565:$J$565, " ")</f>
        <v>0</v>
      </c>
      <c r="G93" s="510"/>
      <c r="H93" s="840"/>
      <c r="I93" s="510"/>
      <c r="J93" s="510"/>
      <c r="K93" s="511"/>
      <c r="L93" s="510"/>
      <c r="M93" s="580"/>
      <c r="N93" s="580"/>
      <c r="O93" s="580"/>
      <c r="P93" s="910"/>
      <c r="Q93" s="910"/>
      <c r="R93" s="910"/>
      <c r="S93" s="910"/>
      <c r="T93" s="910"/>
      <c r="U93" s="910"/>
      <c r="V93" s="910"/>
    </row>
    <row r="94" spans="1:22" x14ac:dyDescent="0.25">
      <c r="A94" s="772"/>
      <c r="B94" s="767" t="str">
        <f t="shared" si="2"/>
        <v xml:space="preserve"> </v>
      </c>
      <c r="C94" s="768" t="str">
        <f t="shared" si="3"/>
        <v xml:space="preserve"> </v>
      </c>
      <c r="D94" s="486"/>
      <c r="E94" s="308" cm="1">
        <f t="array" ref="E94">_xlfn.XLOOKUP(A94&amp;D94, $A$562:$J$562&amp;$A$563:$J$563, $A$564:$J$564, " ")</f>
        <v>0</v>
      </c>
      <c r="F94" s="872" cm="1">
        <f t="array" ref="F94">_xlfn.XLOOKUP(A94&amp;D94, $A$562:$J$562&amp;$A$563:$J$563, $A$565:$J$565, " ")</f>
        <v>0</v>
      </c>
      <c r="G94" s="510"/>
      <c r="H94" s="840"/>
      <c r="I94" s="510"/>
      <c r="J94" s="510"/>
      <c r="K94" s="511"/>
      <c r="L94" s="510"/>
      <c r="M94" s="580"/>
      <c r="N94" s="580"/>
      <c r="O94" s="580"/>
      <c r="P94" s="910"/>
      <c r="Q94" s="910"/>
      <c r="R94" s="910"/>
      <c r="S94" s="910"/>
      <c r="T94" s="910"/>
      <c r="U94" s="910"/>
      <c r="V94" s="910"/>
    </row>
    <row r="95" spans="1:22" x14ac:dyDescent="0.25">
      <c r="A95" s="772"/>
      <c r="B95" s="767" t="str">
        <f t="shared" si="2"/>
        <v xml:space="preserve"> </v>
      </c>
      <c r="C95" s="768" t="str">
        <f t="shared" si="3"/>
        <v xml:space="preserve"> </v>
      </c>
      <c r="D95" s="486"/>
      <c r="E95" s="308" cm="1">
        <f t="array" ref="E95">_xlfn.XLOOKUP(A95&amp;D95, $A$562:$J$562&amp;$A$563:$J$563, $A$564:$J$564, " ")</f>
        <v>0</v>
      </c>
      <c r="F95" s="872" cm="1">
        <f t="array" ref="F95">_xlfn.XLOOKUP(A95&amp;D95, $A$562:$J$562&amp;$A$563:$J$563, $A$565:$J$565, " ")</f>
        <v>0</v>
      </c>
      <c r="G95" s="510"/>
      <c r="H95" s="840"/>
      <c r="I95" s="510"/>
      <c r="J95" s="510"/>
      <c r="K95" s="511"/>
      <c r="L95" s="510"/>
      <c r="M95" s="580"/>
      <c r="N95" s="580"/>
      <c r="O95" s="580"/>
      <c r="P95" s="910"/>
      <c r="Q95" s="910"/>
      <c r="R95" s="910"/>
      <c r="S95" s="910"/>
      <c r="T95" s="910"/>
      <c r="U95" s="910"/>
      <c r="V95" s="910"/>
    </row>
    <row r="96" spans="1:22" x14ac:dyDescent="0.25">
      <c r="A96" s="772"/>
      <c r="B96" s="767" t="str">
        <f t="shared" si="2"/>
        <v xml:space="preserve"> </v>
      </c>
      <c r="C96" s="768" t="str">
        <f t="shared" si="3"/>
        <v xml:space="preserve"> </v>
      </c>
      <c r="D96" s="486"/>
      <c r="E96" s="308" cm="1">
        <f t="array" ref="E96">_xlfn.XLOOKUP(A96&amp;D96, $A$562:$J$562&amp;$A$563:$J$563, $A$564:$J$564, " ")</f>
        <v>0</v>
      </c>
      <c r="F96" s="872" cm="1">
        <f t="array" ref="F96">_xlfn.XLOOKUP(A96&amp;D96, $A$562:$J$562&amp;$A$563:$J$563, $A$565:$J$565, " ")</f>
        <v>0</v>
      </c>
      <c r="G96" s="510"/>
      <c r="H96" s="840"/>
      <c r="I96" s="510"/>
      <c r="J96" s="510"/>
      <c r="K96" s="511"/>
      <c r="L96" s="510"/>
      <c r="M96" s="580"/>
      <c r="N96" s="580"/>
      <c r="O96" s="580"/>
      <c r="P96" s="910"/>
      <c r="Q96" s="910"/>
      <c r="R96" s="910"/>
      <c r="S96" s="910"/>
      <c r="T96" s="910"/>
      <c r="U96" s="910"/>
      <c r="V96" s="910"/>
    </row>
    <row r="97" spans="1:22" x14ac:dyDescent="0.25">
      <c r="A97" s="772"/>
      <c r="B97" s="767" t="str">
        <f t="shared" si="2"/>
        <v xml:space="preserve"> </v>
      </c>
      <c r="C97" s="768" t="str">
        <f t="shared" si="3"/>
        <v xml:space="preserve"> </v>
      </c>
      <c r="D97" s="486"/>
      <c r="E97" s="308" cm="1">
        <f t="array" ref="E97">_xlfn.XLOOKUP(A97&amp;D97, $A$562:$J$562&amp;$A$563:$J$563, $A$564:$J$564, " ")</f>
        <v>0</v>
      </c>
      <c r="F97" s="872" cm="1">
        <f t="array" ref="F97">_xlfn.XLOOKUP(A97&amp;D97, $A$562:$J$562&amp;$A$563:$J$563, $A$565:$J$565, " ")</f>
        <v>0</v>
      </c>
      <c r="G97" s="510"/>
      <c r="H97" s="840"/>
      <c r="I97" s="510"/>
      <c r="J97" s="510"/>
      <c r="K97" s="511"/>
      <c r="L97" s="510"/>
      <c r="M97" s="580"/>
      <c r="N97" s="580"/>
      <c r="O97" s="580"/>
      <c r="P97" s="910"/>
      <c r="Q97" s="910"/>
      <c r="R97" s="910"/>
      <c r="S97" s="910"/>
      <c r="T97" s="910"/>
      <c r="U97" s="910"/>
      <c r="V97" s="910"/>
    </row>
    <row r="98" spans="1:22" x14ac:dyDescent="0.25">
      <c r="A98" s="772"/>
      <c r="B98" s="767" t="str">
        <f t="shared" si="2"/>
        <v xml:space="preserve"> </v>
      </c>
      <c r="C98" s="768" t="str">
        <f t="shared" si="3"/>
        <v xml:space="preserve"> </v>
      </c>
      <c r="D98" s="486"/>
      <c r="E98" s="308" cm="1">
        <f t="array" ref="E98">_xlfn.XLOOKUP(A98&amp;D98, $A$562:$J$562&amp;$A$563:$J$563, $A$564:$J$564, " ")</f>
        <v>0</v>
      </c>
      <c r="F98" s="872" cm="1">
        <f t="array" ref="F98">_xlfn.XLOOKUP(A98&amp;D98, $A$562:$J$562&amp;$A$563:$J$563, $A$565:$J$565, " ")</f>
        <v>0</v>
      </c>
      <c r="G98" s="510"/>
      <c r="H98" s="840"/>
      <c r="I98" s="510"/>
      <c r="J98" s="510"/>
      <c r="K98" s="511"/>
      <c r="L98" s="510"/>
      <c r="M98" s="580"/>
      <c r="N98" s="580"/>
      <c r="O98" s="580"/>
      <c r="P98" s="910"/>
      <c r="Q98" s="910"/>
      <c r="R98" s="910"/>
      <c r="S98" s="910"/>
      <c r="T98" s="910"/>
      <c r="U98" s="910"/>
      <c r="V98" s="910"/>
    </row>
    <row r="99" spans="1:22" x14ac:dyDescent="0.25">
      <c r="A99" s="772"/>
      <c r="B99" s="767" t="str">
        <f t="shared" si="2"/>
        <v xml:space="preserve"> </v>
      </c>
      <c r="C99" s="768" t="str">
        <f t="shared" si="3"/>
        <v xml:space="preserve"> </v>
      </c>
      <c r="D99" s="486"/>
      <c r="E99" s="308" cm="1">
        <f t="array" ref="E99">_xlfn.XLOOKUP(A99&amp;D99, $A$562:$J$562&amp;$A$563:$J$563, $A$564:$J$564, " ")</f>
        <v>0</v>
      </c>
      <c r="F99" s="872" cm="1">
        <f t="array" ref="F99">_xlfn.XLOOKUP(A99&amp;D99, $A$562:$J$562&amp;$A$563:$J$563, $A$565:$J$565, " ")</f>
        <v>0</v>
      </c>
      <c r="G99" s="510"/>
      <c r="H99" s="840"/>
      <c r="I99" s="510"/>
      <c r="J99" s="510"/>
      <c r="K99" s="511"/>
      <c r="L99" s="510"/>
      <c r="M99" s="580"/>
      <c r="N99" s="580"/>
      <c r="O99" s="580"/>
      <c r="P99" s="910"/>
      <c r="Q99" s="910"/>
      <c r="R99" s="910"/>
      <c r="S99" s="910"/>
      <c r="T99" s="910"/>
      <c r="U99" s="910"/>
      <c r="V99" s="910"/>
    </row>
    <row r="100" spans="1:22" x14ac:dyDescent="0.25">
      <c r="A100" s="772"/>
      <c r="B100" s="767" t="str">
        <f t="shared" si="2"/>
        <v xml:space="preserve"> </v>
      </c>
      <c r="C100" s="768" t="str">
        <f t="shared" si="3"/>
        <v xml:space="preserve"> </v>
      </c>
      <c r="D100" s="486"/>
      <c r="E100" s="308" cm="1">
        <f t="array" ref="E100">_xlfn.XLOOKUP(A100&amp;D100, $A$562:$J$562&amp;$A$563:$J$563, $A$564:$J$564, " ")</f>
        <v>0</v>
      </c>
      <c r="F100" s="872" cm="1">
        <f t="array" ref="F100">_xlfn.XLOOKUP(A100&amp;D100, $A$562:$J$562&amp;$A$563:$J$563, $A$565:$J$565, " ")</f>
        <v>0</v>
      </c>
      <c r="G100" s="510"/>
      <c r="H100" s="840"/>
      <c r="I100" s="510"/>
      <c r="J100" s="510"/>
      <c r="K100" s="511"/>
      <c r="L100" s="510"/>
      <c r="M100" s="580"/>
      <c r="N100" s="580"/>
      <c r="O100" s="580"/>
      <c r="P100" s="910"/>
      <c r="Q100" s="910"/>
      <c r="R100" s="910"/>
      <c r="S100" s="910"/>
      <c r="T100" s="910"/>
      <c r="U100" s="910"/>
      <c r="V100" s="910"/>
    </row>
    <row r="101" spans="1:22" x14ac:dyDescent="0.25">
      <c r="A101" s="772"/>
      <c r="B101" s="767" t="str">
        <f t="shared" si="2"/>
        <v xml:space="preserve"> </v>
      </c>
      <c r="C101" s="768" t="str">
        <f t="shared" si="3"/>
        <v xml:space="preserve"> </v>
      </c>
      <c r="D101" s="486"/>
      <c r="E101" s="308" cm="1">
        <f t="array" ref="E101">_xlfn.XLOOKUP(A101&amp;D101, $A$562:$J$562&amp;$A$563:$J$563, $A$564:$J$564, " ")</f>
        <v>0</v>
      </c>
      <c r="F101" s="872" cm="1">
        <f t="array" ref="F101">_xlfn.XLOOKUP(A101&amp;D101, $A$562:$J$562&amp;$A$563:$J$563, $A$565:$J$565, " ")</f>
        <v>0</v>
      </c>
      <c r="G101" s="510"/>
      <c r="H101" s="840"/>
      <c r="I101" s="510"/>
      <c r="J101" s="510"/>
      <c r="K101" s="511"/>
      <c r="L101" s="510"/>
      <c r="M101" s="580"/>
      <c r="N101" s="580"/>
      <c r="O101" s="580"/>
      <c r="P101" s="910"/>
      <c r="Q101" s="910"/>
      <c r="R101" s="910"/>
      <c r="S101" s="910"/>
      <c r="T101" s="910"/>
      <c r="U101" s="910"/>
      <c r="V101" s="910"/>
    </row>
    <row r="102" spans="1:22" x14ac:dyDescent="0.25">
      <c r="A102" s="772"/>
      <c r="B102" s="767" t="str">
        <f t="shared" si="2"/>
        <v xml:space="preserve"> </v>
      </c>
      <c r="C102" s="768" t="str">
        <f t="shared" si="3"/>
        <v xml:space="preserve"> </v>
      </c>
      <c r="D102" s="486"/>
      <c r="E102" s="308" cm="1">
        <f t="array" ref="E102">_xlfn.XLOOKUP(A102&amp;D102, $A$562:$J$562&amp;$A$563:$J$563, $A$564:$J$564, " ")</f>
        <v>0</v>
      </c>
      <c r="F102" s="872" cm="1">
        <f t="array" ref="F102">_xlfn.XLOOKUP(A102&amp;D102, $A$562:$J$562&amp;$A$563:$J$563, $A$565:$J$565, " ")</f>
        <v>0</v>
      </c>
      <c r="G102" s="510"/>
      <c r="H102" s="840"/>
      <c r="I102" s="510"/>
      <c r="J102" s="510"/>
      <c r="K102" s="511"/>
      <c r="L102" s="510"/>
      <c r="M102" s="580"/>
      <c r="N102" s="580"/>
      <c r="O102" s="580"/>
      <c r="P102" s="910"/>
      <c r="Q102" s="910"/>
      <c r="R102" s="910"/>
      <c r="S102" s="910"/>
      <c r="T102" s="910"/>
      <c r="U102" s="910"/>
      <c r="V102" s="910"/>
    </row>
    <row r="103" spans="1:22" x14ac:dyDescent="0.25">
      <c r="A103" s="772"/>
      <c r="B103" s="767" t="str">
        <f t="shared" si="2"/>
        <v xml:space="preserve"> </v>
      </c>
      <c r="C103" s="768" t="str">
        <f t="shared" si="3"/>
        <v xml:space="preserve"> </v>
      </c>
      <c r="D103" s="486"/>
      <c r="E103" s="308" cm="1">
        <f t="array" ref="E103">_xlfn.XLOOKUP(A103&amp;D103, $A$562:$J$562&amp;$A$563:$J$563, $A$564:$J$564, " ")</f>
        <v>0</v>
      </c>
      <c r="F103" s="872" cm="1">
        <f t="array" ref="F103">_xlfn.XLOOKUP(A103&amp;D103, $A$562:$J$562&amp;$A$563:$J$563, $A$565:$J$565, " ")</f>
        <v>0</v>
      </c>
      <c r="G103" s="510"/>
      <c r="H103" s="840"/>
      <c r="I103" s="510"/>
      <c r="J103" s="510"/>
      <c r="K103" s="511"/>
      <c r="L103" s="510"/>
      <c r="M103" s="580"/>
      <c r="N103" s="580"/>
      <c r="O103" s="580"/>
      <c r="P103" s="910"/>
      <c r="Q103" s="910"/>
      <c r="R103" s="910"/>
      <c r="S103" s="910"/>
      <c r="T103" s="910"/>
      <c r="U103" s="910"/>
      <c r="V103" s="910"/>
    </row>
    <row r="104" spans="1:22" x14ac:dyDescent="0.25">
      <c r="A104" s="772"/>
      <c r="B104" s="767" t="str">
        <f t="shared" si="2"/>
        <v xml:space="preserve"> </v>
      </c>
      <c r="C104" s="768" t="str">
        <f t="shared" si="3"/>
        <v xml:space="preserve"> </v>
      </c>
      <c r="D104" s="486"/>
      <c r="E104" s="308" cm="1">
        <f t="array" ref="E104">_xlfn.XLOOKUP(A104&amp;D104, $A$562:$J$562&amp;$A$563:$J$563, $A$564:$J$564, " ")</f>
        <v>0</v>
      </c>
      <c r="F104" s="872" cm="1">
        <f t="array" ref="F104">_xlfn.XLOOKUP(A104&amp;D104, $A$562:$J$562&amp;$A$563:$J$563, $A$565:$J$565, " ")</f>
        <v>0</v>
      </c>
      <c r="G104" s="510"/>
      <c r="H104" s="840"/>
      <c r="I104" s="510"/>
      <c r="J104" s="510"/>
      <c r="K104" s="511"/>
      <c r="L104" s="510"/>
      <c r="M104" s="580"/>
      <c r="N104" s="580"/>
      <c r="O104" s="580"/>
      <c r="P104" s="910"/>
      <c r="Q104" s="910"/>
      <c r="R104" s="910"/>
      <c r="S104" s="910"/>
      <c r="T104" s="910"/>
      <c r="U104" s="910"/>
      <c r="V104" s="910"/>
    </row>
    <row r="105" spans="1:22" x14ac:dyDescent="0.25">
      <c r="A105" s="772"/>
      <c r="B105" s="767" t="str">
        <f t="shared" si="2"/>
        <v xml:space="preserve"> </v>
      </c>
      <c r="C105" s="768" t="str">
        <f t="shared" si="3"/>
        <v xml:space="preserve"> </v>
      </c>
      <c r="D105" s="486"/>
      <c r="E105" s="308" cm="1">
        <f t="array" ref="E105">_xlfn.XLOOKUP(A105&amp;D105, $A$562:$J$562&amp;$A$563:$J$563, $A$564:$J$564, " ")</f>
        <v>0</v>
      </c>
      <c r="F105" s="872" cm="1">
        <f t="array" ref="F105">_xlfn.XLOOKUP(A105&amp;D105, $A$562:$J$562&amp;$A$563:$J$563, $A$565:$J$565, " ")</f>
        <v>0</v>
      </c>
      <c r="G105" s="510"/>
      <c r="H105" s="840"/>
      <c r="I105" s="510"/>
      <c r="J105" s="510"/>
      <c r="K105" s="511"/>
      <c r="L105" s="510"/>
      <c r="M105" s="580"/>
      <c r="N105" s="580"/>
      <c r="O105" s="580"/>
      <c r="P105" s="910"/>
      <c r="Q105" s="910"/>
      <c r="R105" s="910"/>
      <c r="S105" s="910"/>
      <c r="T105" s="910"/>
      <c r="U105" s="910"/>
      <c r="V105" s="910"/>
    </row>
    <row r="106" spans="1:22" x14ac:dyDescent="0.25">
      <c r="A106" s="772"/>
      <c r="B106" s="767" t="str">
        <f t="shared" si="2"/>
        <v xml:space="preserve"> </v>
      </c>
      <c r="C106" s="768" t="str">
        <f t="shared" si="3"/>
        <v xml:space="preserve"> </v>
      </c>
      <c r="D106" s="486"/>
      <c r="E106" s="308" cm="1">
        <f t="array" ref="E106">_xlfn.XLOOKUP(A106&amp;D106, $A$562:$J$562&amp;$A$563:$J$563, $A$564:$J$564, " ")</f>
        <v>0</v>
      </c>
      <c r="F106" s="872" cm="1">
        <f t="array" ref="F106">_xlfn.XLOOKUP(A106&amp;D106, $A$562:$J$562&amp;$A$563:$J$563, $A$565:$J$565, " ")</f>
        <v>0</v>
      </c>
      <c r="G106" s="510"/>
      <c r="H106" s="840"/>
      <c r="I106" s="510"/>
      <c r="J106" s="510"/>
      <c r="K106" s="511"/>
      <c r="L106" s="510"/>
      <c r="M106" s="580"/>
      <c r="N106" s="580"/>
      <c r="O106" s="580"/>
      <c r="P106" s="910"/>
      <c r="Q106" s="910"/>
      <c r="R106" s="910"/>
      <c r="S106" s="910"/>
      <c r="T106" s="910"/>
      <c r="U106" s="910"/>
      <c r="V106" s="910"/>
    </row>
    <row r="107" spans="1:22" x14ac:dyDescent="0.25">
      <c r="A107" s="772"/>
      <c r="B107" s="767" t="str">
        <f t="shared" si="2"/>
        <v xml:space="preserve"> </v>
      </c>
      <c r="C107" s="768" t="str">
        <f t="shared" si="3"/>
        <v xml:space="preserve"> </v>
      </c>
      <c r="D107" s="486"/>
      <c r="E107" s="308" cm="1">
        <f t="array" ref="E107">_xlfn.XLOOKUP(A107&amp;D107, $A$562:$J$562&amp;$A$563:$J$563, $A$564:$J$564, " ")</f>
        <v>0</v>
      </c>
      <c r="F107" s="872" cm="1">
        <f t="array" ref="F107">_xlfn.XLOOKUP(A107&amp;D107, $A$562:$J$562&amp;$A$563:$J$563, $A$565:$J$565, " ")</f>
        <v>0</v>
      </c>
      <c r="G107" s="510"/>
      <c r="H107" s="840"/>
      <c r="I107" s="510"/>
      <c r="J107" s="510"/>
      <c r="K107" s="511"/>
      <c r="L107" s="510"/>
      <c r="M107" s="580"/>
      <c r="N107" s="580"/>
      <c r="O107" s="580"/>
      <c r="P107" s="910"/>
      <c r="Q107" s="910"/>
      <c r="R107" s="910"/>
      <c r="S107" s="910"/>
      <c r="T107" s="910"/>
      <c r="U107" s="910"/>
      <c r="V107" s="910"/>
    </row>
    <row r="108" spans="1:22" x14ac:dyDescent="0.25">
      <c r="A108" s="772"/>
      <c r="B108" s="767" t="str">
        <f t="shared" si="2"/>
        <v xml:space="preserve"> </v>
      </c>
      <c r="C108" s="768" t="str">
        <f t="shared" si="3"/>
        <v xml:space="preserve"> </v>
      </c>
      <c r="D108" s="486"/>
      <c r="E108" s="308" cm="1">
        <f t="array" ref="E108">_xlfn.XLOOKUP(A108&amp;D108, $A$562:$J$562&amp;$A$563:$J$563, $A$564:$J$564, " ")</f>
        <v>0</v>
      </c>
      <c r="F108" s="872" cm="1">
        <f t="array" ref="F108">_xlfn.XLOOKUP(A108&amp;D108, $A$562:$J$562&amp;$A$563:$J$563, $A$565:$J$565, " ")</f>
        <v>0</v>
      </c>
      <c r="G108" s="510"/>
      <c r="H108" s="840"/>
      <c r="I108" s="510"/>
      <c r="J108" s="510"/>
      <c r="K108" s="511"/>
      <c r="L108" s="510"/>
      <c r="M108" s="580"/>
      <c r="N108" s="580"/>
      <c r="O108" s="580"/>
      <c r="P108" s="910"/>
      <c r="Q108" s="910"/>
      <c r="R108" s="910"/>
      <c r="S108" s="910"/>
      <c r="T108" s="910"/>
      <c r="U108" s="910"/>
      <c r="V108" s="910"/>
    </row>
    <row r="109" spans="1:22" x14ac:dyDescent="0.25">
      <c r="A109" s="772"/>
      <c r="B109" s="767" t="str">
        <f t="shared" si="2"/>
        <v xml:space="preserve"> </v>
      </c>
      <c r="C109" s="768" t="str">
        <f t="shared" si="3"/>
        <v xml:space="preserve"> </v>
      </c>
      <c r="D109" s="486"/>
      <c r="E109" s="308" cm="1">
        <f t="array" ref="E109">_xlfn.XLOOKUP(A109&amp;D109, $A$562:$J$562&amp;$A$563:$J$563, $A$564:$J$564, " ")</f>
        <v>0</v>
      </c>
      <c r="F109" s="872" cm="1">
        <f t="array" ref="F109">_xlfn.XLOOKUP(A109&amp;D109, $A$562:$J$562&amp;$A$563:$J$563, $A$565:$J$565, " ")</f>
        <v>0</v>
      </c>
      <c r="G109" s="510"/>
      <c r="H109" s="840"/>
      <c r="I109" s="510"/>
      <c r="J109" s="510"/>
      <c r="K109" s="511"/>
      <c r="L109" s="510"/>
      <c r="M109" s="580"/>
      <c r="N109" s="580"/>
      <c r="O109" s="580"/>
      <c r="P109" s="910"/>
      <c r="Q109" s="910"/>
      <c r="R109" s="910"/>
      <c r="S109" s="910"/>
      <c r="T109" s="910"/>
      <c r="U109" s="910"/>
      <c r="V109" s="910"/>
    </row>
    <row r="110" spans="1:22" x14ac:dyDescent="0.25">
      <c r="A110" s="772"/>
      <c r="B110" s="767" t="str">
        <f t="shared" si="2"/>
        <v xml:space="preserve"> </v>
      </c>
      <c r="C110" s="768" t="str">
        <f t="shared" si="3"/>
        <v xml:space="preserve"> </v>
      </c>
      <c r="D110" s="486"/>
      <c r="E110" s="308" cm="1">
        <f t="array" ref="E110">_xlfn.XLOOKUP(A110&amp;D110, $A$562:$J$562&amp;$A$563:$J$563, $A$564:$J$564, " ")</f>
        <v>0</v>
      </c>
      <c r="F110" s="872" cm="1">
        <f t="array" ref="F110">_xlfn.XLOOKUP(A110&amp;D110, $A$562:$J$562&amp;$A$563:$J$563, $A$565:$J$565, " ")</f>
        <v>0</v>
      </c>
      <c r="G110" s="510"/>
      <c r="H110" s="840"/>
      <c r="I110" s="510"/>
      <c r="J110" s="510"/>
      <c r="K110" s="511"/>
      <c r="L110" s="510"/>
      <c r="M110" s="580"/>
      <c r="N110" s="580"/>
      <c r="O110" s="580"/>
      <c r="P110" s="910"/>
      <c r="Q110" s="910"/>
      <c r="R110" s="910"/>
      <c r="S110" s="910"/>
      <c r="T110" s="910"/>
      <c r="U110" s="910"/>
      <c r="V110" s="910"/>
    </row>
    <row r="111" spans="1:22" x14ac:dyDescent="0.25">
      <c r="A111" s="772"/>
      <c r="B111" s="767" t="str">
        <f t="shared" si="2"/>
        <v xml:space="preserve"> </v>
      </c>
      <c r="C111" s="768" t="str">
        <f t="shared" si="3"/>
        <v xml:space="preserve"> </v>
      </c>
      <c r="D111" s="486"/>
      <c r="E111" s="308" cm="1">
        <f t="array" ref="E111">_xlfn.XLOOKUP(A111&amp;D111, $A$562:$J$562&amp;$A$563:$J$563, $A$564:$J$564, " ")</f>
        <v>0</v>
      </c>
      <c r="F111" s="872" cm="1">
        <f t="array" ref="F111">_xlfn.XLOOKUP(A111&amp;D111, $A$562:$J$562&amp;$A$563:$J$563, $A$565:$J$565, " ")</f>
        <v>0</v>
      </c>
      <c r="G111" s="510"/>
      <c r="H111" s="840"/>
      <c r="I111" s="510"/>
      <c r="J111" s="510"/>
      <c r="K111" s="511"/>
      <c r="L111" s="510"/>
      <c r="M111" s="580"/>
      <c r="N111" s="580"/>
      <c r="O111" s="580"/>
      <c r="P111" s="910"/>
      <c r="Q111" s="910"/>
      <c r="R111" s="910"/>
      <c r="S111" s="910"/>
      <c r="T111" s="910"/>
      <c r="U111" s="910"/>
      <c r="V111" s="910"/>
    </row>
    <row r="112" spans="1:22" x14ac:dyDescent="0.25">
      <c r="A112" s="772"/>
      <c r="B112" s="767" t="str">
        <f t="shared" si="2"/>
        <v xml:space="preserve"> </v>
      </c>
      <c r="C112" s="768" t="str">
        <f t="shared" si="3"/>
        <v xml:space="preserve"> </v>
      </c>
      <c r="D112" s="486"/>
      <c r="E112" s="308" cm="1">
        <f t="array" ref="E112">_xlfn.XLOOKUP(A112&amp;D112, $A$562:$J$562&amp;$A$563:$J$563, $A$564:$J$564, " ")</f>
        <v>0</v>
      </c>
      <c r="F112" s="872" cm="1">
        <f t="array" ref="F112">_xlfn.XLOOKUP(A112&amp;D112, $A$562:$J$562&amp;$A$563:$J$563, $A$565:$J$565, " ")</f>
        <v>0</v>
      </c>
      <c r="G112" s="510"/>
      <c r="H112" s="840"/>
      <c r="I112" s="510"/>
      <c r="J112" s="510"/>
      <c r="K112" s="511"/>
      <c r="L112" s="510"/>
      <c r="M112" s="580"/>
      <c r="N112" s="580"/>
      <c r="O112" s="580"/>
      <c r="P112" s="910"/>
      <c r="Q112" s="910"/>
      <c r="R112" s="910"/>
      <c r="S112" s="910"/>
      <c r="T112" s="910"/>
      <c r="U112" s="910"/>
      <c r="V112" s="910"/>
    </row>
    <row r="113" spans="1:22" x14ac:dyDescent="0.25">
      <c r="A113" s="772"/>
      <c r="B113" s="767" t="str">
        <f t="shared" si="2"/>
        <v xml:space="preserve"> </v>
      </c>
      <c r="C113" s="768" t="str">
        <f t="shared" si="3"/>
        <v xml:space="preserve"> </v>
      </c>
      <c r="D113" s="486"/>
      <c r="E113" s="308" cm="1">
        <f t="array" ref="E113">_xlfn.XLOOKUP(A113&amp;D113, $A$562:$J$562&amp;$A$563:$J$563, $A$564:$J$564, " ")</f>
        <v>0</v>
      </c>
      <c r="F113" s="872" cm="1">
        <f t="array" ref="F113">_xlfn.XLOOKUP(A113&amp;D113, $A$562:$J$562&amp;$A$563:$J$563, $A$565:$J$565, " ")</f>
        <v>0</v>
      </c>
      <c r="G113" s="510"/>
      <c r="H113" s="840"/>
      <c r="I113" s="510"/>
      <c r="J113" s="510"/>
      <c r="K113" s="511"/>
      <c r="L113" s="510"/>
      <c r="M113" s="580"/>
      <c r="N113" s="580"/>
      <c r="O113" s="580"/>
      <c r="P113" s="910"/>
      <c r="Q113" s="910"/>
      <c r="R113" s="910"/>
      <c r="S113" s="910"/>
      <c r="T113" s="910"/>
      <c r="U113" s="910"/>
      <c r="V113" s="910"/>
    </row>
    <row r="114" spans="1:22" x14ac:dyDescent="0.25">
      <c r="A114" s="772"/>
      <c r="B114" s="767" t="str">
        <f t="shared" si="2"/>
        <v xml:space="preserve"> </v>
      </c>
      <c r="C114" s="768" t="str">
        <f t="shared" si="3"/>
        <v xml:space="preserve"> </v>
      </c>
      <c r="D114" s="486"/>
      <c r="E114" s="308" cm="1">
        <f t="array" ref="E114">_xlfn.XLOOKUP(A114&amp;D114, $A$562:$J$562&amp;$A$563:$J$563, $A$564:$J$564, " ")</f>
        <v>0</v>
      </c>
      <c r="F114" s="872" cm="1">
        <f t="array" ref="F114">_xlfn.XLOOKUP(A114&amp;D114, $A$562:$J$562&amp;$A$563:$J$563, $A$565:$J$565, " ")</f>
        <v>0</v>
      </c>
      <c r="G114" s="510"/>
      <c r="H114" s="840"/>
      <c r="I114" s="510"/>
      <c r="J114" s="510"/>
      <c r="K114" s="511"/>
      <c r="L114" s="510"/>
      <c r="M114" s="580"/>
      <c r="N114" s="580"/>
      <c r="O114" s="580"/>
      <c r="P114" s="910"/>
      <c r="Q114" s="910"/>
      <c r="R114" s="910"/>
      <c r="S114" s="910"/>
      <c r="T114" s="910"/>
      <c r="U114" s="910"/>
      <c r="V114" s="910"/>
    </row>
    <row r="115" spans="1:22" x14ac:dyDescent="0.25">
      <c r="A115" s="772"/>
      <c r="B115" s="767" t="str">
        <f t="shared" si="2"/>
        <v xml:space="preserve"> </v>
      </c>
      <c r="C115" s="768" t="str">
        <f t="shared" si="3"/>
        <v xml:space="preserve"> </v>
      </c>
      <c r="D115" s="486"/>
      <c r="E115" s="308" cm="1">
        <f t="array" ref="E115">_xlfn.XLOOKUP(A115&amp;D115, $A$562:$J$562&amp;$A$563:$J$563, $A$564:$J$564, " ")</f>
        <v>0</v>
      </c>
      <c r="F115" s="872" cm="1">
        <f t="array" ref="F115">_xlfn.XLOOKUP(A115&amp;D115, $A$562:$J$562&amp;$A$563:$J$563, $A$565:$J$565, " ")</f>
        <v>0</v>
      </c>
      <c r="G115" s="510"/>
      <c r="H115" s="840"/>
      <c r="I115" s="510"/>
      <c r="J115" s="510"/>
      <c r="K115" s="511"/>
      <c r="L115" s="510"/>
      <c r="M115" s="580"/>
      <c r="N115" s="580"/>
      <c r="O115" s="580"/>
      <c r="P115" s="910"/>
      <c r="Q115" s="910"/>
      <c r="R115" s="910"/>
      <c r="S115" s="910"/>
      <c r="T115" s="910"/>
      <c r="U115" s="910"/>
      <c r="V115" s="910"/>
    </row>
    <row r="116" spans="1:22" x14ac:dyDescent="0.25">
      <c r="A116" s="772"/>
      <c r="B116" s="767" t="str">
        <f t="shared" si="2"/>
        <v xml:space="preserve"> </v>
      </c>
      <c r="C116" s="768" t="str">
        <f t="shared" si="3"/>
        <v xml:space="preserve"> </v>
      </c>
      <c r="D116" s="486"/>
      <c r="E116" s="308" cm="1">
        <f t="array" ref="E116">_xlfn.XLOOKUP(A116&amp;D116, $A$562:$J$562&amp;$A$563:$J$563, $A$564:$J$564, " ")</f>
        <v>0</v>
      </c>
      <c r="F116" s="872" cm="1">
        <f t="array" ref="F116">_xlfn.XLOOKUP(A116&amp;D116, $A$562:$J$562&amp;$A$563:$J$563, $A$565:$J$565, " ")</f>
        <v>0</v>
      </c>
      <c r="G116" s="510"/>
      <c r="H116" s="840"/>
      <c r="I116" s="510"/>
      <c r="J116" s="510"/>
      <c r="K116" s="511"/>
      <c r="L116" s="510"/>
      <c r="M116" s="580"/>
      <c r="N116" s="580"/>
      <c r="O116" s="580"/>
      <c r="P116" s="910"/>
      <c r="Q116" s="910"/>
      <c r="R116" s="910"/>
      <c r="S116" s="910"/>
      <c r="T116" s="910"/>
      <c r="U116" s="910"/>
      <c r="V116" s="910"/>
    </row>
    <row r="117" spans="1:22" x14ac:dyDescent="0.25">
      <c r="A117" s="772"/>
      <c r="B117" s="767" t="str">
        <f t="shared" si="2"/>
        <v xml:space="preserve"> </v>
      </c>
      <c r="C117" s="768" t="str">
        <f t="shared" si="3"/>
        <v xml:space="preserve"> </v>
      </c>
      <c r="D117" s="486"/>
      <c r="E117" s="308" cm="1">
        <f t="array" ref="E117">_xlfn.XLOOKUP(A117&amp;D117, $A$562:$J$562&amp;$A$563:$J$563, $A$564:$J$564, " ")</f>
        <v>0</v>
      </c>
      <c r="F117" s="872" cm="1">
        <f t="array" ref="F117">_xlfn.XLOOKUP(A117&amp;D117, $A$562:$J$562&amp;$A$563:$J$563, $A$565:$J$565, " ")</f>
        <v>0</v>
      </c>
      <c r="G117" s="510"/>
      <c r="H117" s="840"/>
      <c r="I117" s="510"/>
      <c r="J117" s="510"/>
      <c r="K117" s="511"/>
      <c r="L117" s="510"/>
      <c r="M117" s="580"/>
      <c r="N117" s="580"/>
      <c r="O117" s="580"/>
      <c r="P117" s="910"/>
      <c r="Q117" s="910"/>
      <c r="R117" s="910"/>
      <c r="S117" s="910"/>
      <c r="T117" s="910"/>
      <c r="U117" s="910"/>
      <c r="V117" s="910"/>
    </row>
    <row r="118" spans="1:22" x14ac:dyDescent="0.25">
      <c r="A118" s="772"/>
      <c r="B118" s="767" t="str">
        <f t="shared" si="2"/>
        <v xml:space="preserve"> </v>
      </c>
      <c r="C118" s="768" t="str">
        <f t="shared" si="3"/>
        <v xml:space="preserve"> </v>
      </c>
      <c r="D118" s="486"/>
      <c r="E118" s="308" cm="1">
        <f t="array" ref="E118">_xlfn.XLOOKUP(A118&amp;D118, $A$562:$J$562&amp;$A$563:$J$563, $A$564:$J$564, " ")</f>
        <v>0</v>
      </c>
      <c r="F118" s="872" cm="1">
        <f t="array" ref="F118">_xlfn.XLOOKUP(A118&amp;D118, $A$562:$J$562&amp;$A$563:$J$563, $A$565:$J$565, " ")</f>
        <v>0</v>
      </c>
      <c r="G118" s="510"/>
      <c r="H118" s="840"/>
      <c r="I118" s="510"/>
      <c r="J118" s="510"/>
      <c r="K118" s="511"/>
      <c r="L118" s="510"/>
      <c r="M118" s="580"/>
      <c r="N118" s="580"/>
      <c r="O118" s="580"/>
      <c r="P118" s="910"/>
      <c r="Q118" s="910"/>
      <c r="R118" s="910"/>
      <c r="S118" s="910"/>
      <c r="T118" s="910"/>
      <c r="U118" s="910"/>
      <c r="V118" s="910"/>
    </row>
    <row r="119" spans="1:22" x14ac:dyDescent="0.25">
      <c r="A119" s="772"/>
      <c r="B119" s="767" t="str">
        <f t="shared" si="2"/>
        <v xml:space="preserve"> </v>
      </c>
      <c r="C119" s="768" t="str">
        <f t="shared" si="3"/>
        <v xml:space="preserve"> </v>
      </c>
      <c r="D119" s="486"/>
      <c r="E119" s="308" cm="1">
        <f t="array" ref="E119">_xlfn.XLOOKUP(A119&amp;D119, $A$562:$J$562&amp;$A$563:$J$563, $A$564:$J$564, " ")</f>
        <v>0</v>
      </c>
      <c r="F119" s="872" cm="1">
        <f t="array" ref="F119">_xlfn.XLOOKUP(A119&amp;D119, $A$562:$J$562&amp;$A$563:$J$563, $A$565:$J$565, " ")</f>
        <v>0</v>
      </c>
      <c r="G119" s="510"/>
      <c r="H119" s="840"/>
      <c r="I119" s="510"/>
      <c r="J119" s="510"/>
      <c r="K119" s="511"/>
      <c r="L119" s="510"/>
      <c r="M119" s="580"/>
      <c r="N119" s="580"/>
      <c r="O119" s="580"/>
      <c r="P119" s="910"/>
      <c r="Q119" s="910"/>
      <c r="R119" s="910"/>
      <c r="S119" s="910"/>
      <c r="T119" s="910"/>
      <c r="U119" s="910"/>
      <c r="V119" s="910"/>
    </row>
    <row r="120" spans="1:22" x14ac:dyDescent="0.25">
      <c r="A120" s="772"/>
      <c r="B120" s="767" t="str">
        <f t="shared" si="2"/>
        <v xml:space="preserve"> </v>
      </c>
      <c r="C120" s="768" t="str">
        <f t="shared" si="3"/>
        <v xml:space="preserve"> </v>
      </c>
      <c r="D120" s="486"/>
      <c r="E120" s="308" cm="1">
        <f t="array" ref="E120">_xlfn.XLOOKUP(A120&amp;D120, $A$562:$J$562&amp;$A$563:$J$563, $A$564:$J$564, " ")</f>
        <v>0</v>
      </c>
      <c r="F120" s="872" cm="1">
        <f t="array" ref="F120">_xlfn.XLOOKUP(A120&amp;D120, $A$562:$J$562&amp;$A$563:$J$563, $A$565:$J$565, " ")</f>
        <v>0</v>
      </c>
      <c r="G120" s="510"/>
      <c r="H120" s="840"/>
      <c r="I120" s="510"/>
      <c r="J120" s="510"/>
      <c r="K120" s="511"/>
      <c r="L120" s="510"/>
      <c r="M120" s="580"/>
      <c r="N120" s="580"/>
      <c r="O120" s="580"/>
      <c r="P120" s="910"/>
      <c r="Q120" s="910"/>
      <c r="R120" s="910"/>
      <c r="S120" s="910"/>
      <c r="T120" s="910"/>
      <c r="U120" s="910"/>
      <c r="V120" s="910"/>
    </row>
    <row r="121" spans="1:22" x14ac:dyDescent="0.25">
      <c r="A121" s="772"/>
      <c r="B121" s="767" t="str">
        <f t="shared" si="2"/>
        <v xml:space="preserve"> </v>
      </c>
      <c r="C121" s="768" t="str">
        <f t="shared" si="3"/>
        <v xml:space="preserve"> </v>
      </c>
      <c r="D121" s="486"/>
      <c r="E121" s="308" cm="1">
        <f t="array" ref="E121">_xlfn.XLOOKUP(A121&amp;D121, $A$562:$J$562&amp;$A$563:$J$563, $A$564:$J$564, " ")</f>
        <v>0</v>
      </c>
      <c r="F121" s="872" cm="1">
        <f t="array" ref="F121">_xlfn.XLOOKUP(A121&amp;D121, $A$562:$J$562&amp;$A$563:$J$563, $A$565:$J$565, " ")</f>
        <v>0</v>
      </c>
      <c r="G121" s="510"/>
      <c r="H121" s="840"/>
      <c r="I121" s="510"/>
      <c r="J121" s="510"/>
      <c r="K121" s="511"/>
      <c r="L121" s="510"/>
      <c r="M121" s="580"/>
      <c r="N121" s="580"/>
      <c r="O121" s="580"/>
      <c r="P121" s="910"/>
      <c r="Q121" s="910"/>
      <c r="R121" s="910"/>
      <c r="S121" s="910"/>
      <c r="T121" s="910"/>
      <c r="U121" s="910"/>
      <c r="V121" s="910"/>
    </row>
    <row r="122" spans="1:22" x14ac:dyDescent="0.25">
      <c r="A122" s="772"/>
      <c r="B122" s="767" t="str">
        <f t="shared" si="2"/>
        <v xml:space="preserve"> </v>
      </c>
      <c r="C122" s="768" t="str">
        <f t="shared" si="3"/>
        <v xml:space="preserve"> </v>
      </c>
      <c r="D122" s="486"/>
      <c r="E122" s="308" cm="1">
        <f t="array" ref="E122">_xlfn.XLOOKUP(A122&amp;D122, $A$562:$J$562&amp;$A$563:$J$563, $A$564:$J$564, " ")</f>
        <v>0</v>
      </c>
      <c r="F122" s="872" cm="1">
        <f t="array" ref="F122">_xlfn.XLOOKUP(A122&amp;D122, $A$562:$J$562&amp;$A$563:$J$563, $A$565:$J$565, " ")</f>
        <v>0</v>
      </c>
      <c r="G122" s="510"/>
      <c r="H122" s="840"/>
      <c r="I122" s="510"/>
      <c r="J122" s="510"/>
      <c r="K122" s="511"/>
      <c r="L122" s="510"/>
      <c r="M122" s="580"/>
      <c r="N122" s="580"/>
      <c r="O122" s="580"/>
      <c r="P122" s="910"/>
      <c r="Q122" s="910"/>
      <c r="R122" s="910"/>
      <c r="S122" s="910"/>
      <c r="T122" s="910"/>
      <c r="U122" s="910"/>
      <c r="V122" s="910"/>
    </row>
    <row r="123" spans="1:22" x14ac:dyDescent="0.25">
      <c r="A123" s="772"/>
      <c r="B123" s="767" t="str">
        <f t="shared" si="2"/>
        <v xml:space="preserve"> </v>
      </c>
      <c r="C123" s="768" t="str">
        <f t="shared" si="3"/>
        <v xml:space="preserve"> </v>
      </c>
      <c r="D123" s="486"/>
      <c r="E123" s="308" cm="1">
        <f t="array" ref="E123">_xlfn.XLOOKUP(A123&amp;D123, $A$562:$J$562&amp;$A$563:$J$563, $A$564:$J$564, " ")</f>
        <v>0</v>
      </c>
      <c r="F123" s="872" cm="1">
        <f t="array" ref="F123">_xlfn.XLOOKUP(A123&amp;D123, $A$562:$J$562&amp;$A$563:$J$563, $A$565:$J$565, " ")</f>
        <v>0</v>
      </c>
      <c r="G123" s="510"/>
      <c r="H123" s="840"/>
      <c r="I123" s="510"/>
      <c r="J123" s="510"/>
      <c r="K123" s="511"/>
      <c r="L123" s="510"/>
      <c r="M123" s="580"/>
      <c r="N123" s="580"/>
      <c r="O123" s="580"/>
      <c r="P123" s="910"/>
      <c r="Q123" s="910"/>
      <c r="R123" s="910"/>
      <c r="S123" s="910"/>
      <c r="T123" s="910"/>
      <c r="U123" s="910"/>
      <c r="V123" s="910"/>
    </row>
    <row r="124" spans="1:22" x14ac:dyDescent="0.25">
      <c r="A124" s="772"/>
      <c r="B124" s="767" t="str">
        <f t="shared" si="2"/>
        <v xml:space="preserve"> </v>
      </c>
      <c r="C124" s="768" t="str">
        <f t="shared" si="3"/>
        <v xml:space="preserve"> </v>
      </c>
      <c r="D124" s="486"/>
      <c r="E124" s="308" cm="1">
        <f t="array" ref="E124">_xlfn.XLOOKUP(A124&amp;D124, $A$562:$J$562&amp;$A$563:$J$563, $A$564:$J$564, " ")</f>
        <v>0</v>
      </c>
      <c r="F124" s="872" cm="1">
        <f t="array" ref="F124">_xlfn.XLOOKUP(A124&amp;D124, $A$562:$J$562&amp;$A$563:$J$563, $A$565:$J$565, " ")</f>
        <v>0</v>
      </c>
      <c r="G124" s="510"/>
      <c r="H124" s="840"/>
      <c r="I124" s="510"/>
      <c r="J124" s="510"/>
      <c r="K124" s="511"/>
      <c r="L124" s="510"/>
      <c r="M124" s="580"/>
      <c r="N124" s="580"/>
      <c r="O124" s="580"/>
      <c r="P124" s="910"/>
      <c r="Q124" s="910"/>
      <c r="R124" s="910"/>
      <c r="S124" s="910"/>
      <c r="T124" s="910"/>
      <c r="U124" s="910"/>
      <c r="V124" s="910"/>
    </row>
    <row r="125" spans="1:22" x14ac:dyDescent="0.25">
      <c r="A125" s="772"/>
      <c r="B125" s="767" t="str">
        <f t="shared" si="2"/>
        <v xml:space="preserve"> </v>
      </c>
      <c r="C125" s="768" t="str">
        <f t="shared" si="3"/>
        <v xml:space="preserve"> </v>
      </c>
      <c r="D125" s="486"/>
      <c r="E125" s="308" cm="1">
        <f t="array" ref="E125">_xlfn.XLOOKUP(A125&amp;D125, $A$562:$J$562&amp;$A$563:$J$563, $A$564:$J$564, " ")</f>
        <v>0</v>
      </c>
      <c r="F125" s="872" cm="1">
        <f t="array" ref="F125">_xlfn.XLOOKUP(A125&amp;D125, $A$562:$J$562&amp;$A$563:$J$563, $A$565:$J$565, " ")</f>
        <v>0</v>
      </c>
      <c r="G125" s="510"/>
      <c r="H125" s="840"/>
      <c r="I125" s="510"/>
      <c r="J125" s="510"/>
      <c r="K125" s="511"/>
      <c r="L125" s="510"/>
      <c r="M125" s="580"/>
      <c r="N125" s="580"/>
      <c r="O125" s="580"/>
      <c r="P125" s="910"/>
      <c r="Q125" s="910"/>
      <c r="R125" s="910"/>
      <c r="S125" s="910"/>
      <c r="T125" s="910"/>
      <c r="U125" s="910"/>
      <c r="V125" s="910"/>
    </row>
    <row r="126" spans="1:22" x14ac:dyDescent="0.25">
      <c r="A126" s="772"/>
      <c r="B126" s="767" t="str">
        <f t="shared" si="2"/>
        <v xml:space="preserve"> </v>
      </c>
      <c r="C126" s="768" t="str">
        <f t="shared" si="3"/>
        <v xml:space="preserve"> </v>
      </c>
      <c r="D126" s="486"/>
      <c r="E126" s="308" cm="1">
        <f t="array" ref="E126">_xlfn.XLOOKUP(A126&amp;D126, $A$562:$J$562&amp;$A$563:$J$563, $A$564:$J$564, " ")</f>
        <v>0</v>
      </c>
      <c r="F126" s="872" cm="1">
        <f t="array" ref="F126">_xlfn.XLOOKUP(A126&amp;D126, $A$562:$J$562&amp;$A$563:$J$563, $A$565:$J$565, " ")</f>
        <v>0</v>
      </c>
      <c r="G126" s="510"/>
      <c r="H126" s="840"/>
      <c r="I126" s="510"/>
      <c r="J126" s="510"/>
      <c r="K126" s="511"/>
      <c r="L126" s="510"/>
      <c r="M126" s="580"/>
      <c r="N126" s="580"/>
      <c r="O126" s="580"/>
      <c r="P126" s="910"/>
      <c r="Q126" s="910"/>
      <c r="R126" s="910"/>
      <c r="S126" s="910"/>
      <c r="T126" s="910"/>
      <c r="U126" s="910"/>
      <c r="V126" s="910"/>
    </row>
    <row r="127" spans="1:22" x14ac:dyDescent="0.25">
      <c r="A127" s="772"/>
      <c r="B127" s="767" t="str">
        <f t="shared" si="2"/>
        <v xml:space="preserve"> </v>
      </c>
      <c r="C127" s="768" t="str">
        <f t="shared" si="3"/>
        <v xml:space="preserve"> </v>
      </c>
      <c r="D127" s="486"/>
      <c r="E127" s="308" cm="1">
        <f t="array" ref="E127">_xlfn.XLOOKUP(A127&amp;D127, $A$562:$J$562&amp;$A$563:$J$563, $A$564:$J$564, " ")</f>
        <v>0</v>
      </c>
      <c r="F127" s="872" cm="1">
        <f t="array" ref="F127">_xlfn.XLOOKUP(A127&amp;D127, $A$562:$J$562&amp;$A$563:$J$563, $A$565:$J$565, " ")</f>
        <v>0</v>
      </c>
      <c r="G127" s="510"/>
      <c r="H127" s="840"/>
      <c r="I127" s="510"/>
      <c r="J127" s="510"/>
      <c r="K127" s="511"/>
      <c r="L127" s="510"/>
      <c r="M127" s="580"/>
      <c r="N127" s="580"/>
      <c r="O127" s="580"/>
      <c r="P127" s="910"/>
      <c r="Q127" s="910"/>
      <c r="R127" s="910"/>
      <c r="S127" s="910"/>
      <c r="T127" s="910"/>
      <c r="U127" s="910"/>
      <c r="V127" s="910"/>
    </row>
    <row r="128" spans="1:22" x14ac:dyDescent="0.25">
      <c r="A128" s="772"/>
      <c r="B128" s="767" t="str">
        <f t="shared" si="2"/>
        <v xml:space="preserve"> </v>
      </c>
      <c r="C128" s="768" t="str">
        <f t="shared" si="3"/>
        <v xml:space="preserve"> </v>
      </c>
      <c r="D128" s="486"/>
      <c r="E128" s="308" cm="1">
        <f t="array" ref="E128">_xlfn.XLOOKUP(A128&amp;D128, $A$562:$J$562&amp;$A$563:$J$563, $A$564:$J$564, " ")</f>
        <v>0</v>
      </c>
      <c r="F128" s="872" cm="1">
        <f t="array" ref="F128">_xlfn.XLOOKUP(A128&amp;D128, $A$562:$J$562&amp;$A$563:$J$563, $A$565:$J$565, " ")</f>
        <v>0</v>
      </c>
      <c r="G128" s="510"/>
      <c r="H128" s="840"/>
      <c r="I128" s="510"/>
      <c r="J128" s="510"/>
      <c r="K128" s="511"/>
      <c r="L128" s="510"/>
      <c r="M128" s="580"/>
      <c r="N128" s="580"/>
      <c r="O128" s="580"/>
      <c r="P128" s="910"/>
      <c r="Q128" s="910"/>
      <c r="R128" s="910"/>
      <c r="S128" s="910"/>
      <c r="T128" s="910"/>
      <c r="U128" s="910"/>
      <c r="V128" s="910"/>
    </row>
    <row r="129" spans="1:22" x14ac:dyDescent="0.25">
      <c r="A129" s="772"/>
      <c r="B129" s="767" t="str">
        <f t="shared" si="2"/>
        <v xml:space="preserve"> </v>
      </c>
      <c r="C129" s="768" t="str">
        <f t="shared" si="3"/>
        <v xml:space="preserve"> </v>
      </c>
      <c r="D129" s="486"/>
      <c r="E129" s="308" cm="1">
        <f t="array" ref="E129">_xlfn.XLOOKUP(A129&amp;D129, $A$562:$J$562&amp;$A$563:$J$563, $A$564:$J$564, " ")</f>
        <v>0</v>
      </c>
      <c r="F129" s="872" cm="1">
        <f t="array" ref="F129">_xlfn.XLOOKUP(A129&amp;D129, $A$562:$J$562&amp;$A$563:$J$563, $A$565:$J$565, " ")</f>
        <v>0</v>
      </c>
      <c r="G129" s="510"/>
      <c r="H129" s="840"/>
      <c r="I129" s="510"/>
      <c r="J129" s="510"/>
      <c r="K129" s="511"/>
      <c r="L129" s="510"/>
      <c r="M129" s="580"/>
      <c r="N129" s="580"/>
      <c r="O129" s="580"/>
      <c r="P129" s="910"/>
      <c r="Q129" s="910"/>
      <c r="R129" s="910"/>
      <c r="S129" s="910"/>
      <c r="T129" s="910"/>
      <c r="U129" s="910"/>
      <c r="V129" s="910"/>
    </row>
    <row r="130" spans="1:22" x14ac:dyDescent="0.25">
      <c r="A130" s="772"/>
      <c r="B130" s="767" t="str">
        <f t="shared" si="2"/>
        <v xml:space="preserve"> </v>
      </c>
      <c r="C130" s="768" t="str">
        <f t="shared" si="3"/>
        <v xml:space="preserve"> </v>
      </c>
      <c r="D130" s="486"/>
      <c r="E130" s="308" cm="1">
        <f t="array" ref="E130">_xlfn.XLOOKUP(A130&amp;D130, $A$562:$J$562&amp;$A$563:$J$563, $A$564:$J$564, " ")</f>
        <v>0</v>
      </c>
      <c r="F130" s="872" cm="1">
        <f t="array" ref="F130">_xlfn.XLOOKUP(A130&amp;D130, $A$562:$J$562&amp;$A$563:$J$563, $A$565:$J$565, " ")</f>
        <v>0</v>
      </c>
      <c r="G130" s="510"/>
      <c r="H130" s="840"/>
      <c r="I130" s="510"/>
      <c r="J130" s="510"/>
      <c r="K130" s="511"/>
      <c r="L130" s="510"/>
      <c r="M130" s="580"/>
      <c r="N130" s="580"/>
      <c r="O130" s="580"/>
      <c r="P130" s="910"/>
      <c r="Q130" s="910"/>
      <c r="R130" s="910"/>
      <c r="S130" s="910"/>
      <c r="T130" s="910"/>
      <c r="U130" s="910"/>
      <c r="V130" s="910"/>
    </row>
    <row r="131" spans="1:22" x14ac:dyDescent="0.25">
      <c r="A131" s="772"/>
      <c r="B131" s="767" t="str">
        <f t="shared" si="2"/>
        <v xml:space="preserve"> </v>
      </c>
      <c r="C131" s="768" t="str">
        <f t="shared" si="3"/>
        <v xml:space="preserve"> </v>
      </c>
      <c r="D131" s="486"/>
      <c r="E131" s="308" cm="1">
        <f t="array" ref="E131">_xlfn.XLOOKUP(A131&amp;D131, $A$562:$J$562&amp;$A$563:$J$563, $A$564:$J$564, " ")</f>
        <v>0</v>
      </c>
      <c r="F131" s="872" cm="1">
        <f t="array" ref="F131">_xlfn.XLOOKUP(A131&amp;D131, $A$562:$J$562&amp;$A$563:$J$563, $A$565:$J$565, " ")</f>
        <v>0</v>
      </c>
      <c r="G131" s="510"/>
      <c r="H131" s="840"/>
      <c r="I131" s="510"/>
      <c r="J131" s="510"/>
      <c r="K131" s="511"/>
      <c r="L131" s="510"/>
      <c r="M131" s="580"/>
      <c r="N131" s="580"/>
      <c r="O131" s="580"/>
      <c r="P131" s="910"/>
      <c r="Q131" s="910"/>
      <c r="R131" s="910"/>
      <c r="S131" s="910"/>
      <c r="T131" s="910"/>
      <c r="U131" s="910"/>
      <c r="V131" s="910"/>
    </row>
    <row r="132" spans="1:22" x14ac:dyDescent="0.25">
      <c r="A132" s="772"/>
      <c r="B132" s="767" t="str">
        <f t="shared" si="2"/>
        <v xml:space="preserve"> </v>
      </c>
      <c r="C132" s="768" t="str">
        <f t="shared" si="3"/>
        <v xml:space="preserve"> </v>
      </c>
      <c r="D132" s="486"/>
      <c r="E132" s="308" cm="1">
        <f t="array" ref="E132">_xlfn.XLOOKUP(A132&amp;D132, $A$562:$J$562&amp;$A$563:$J$563, $A$564:$J$564, " ")</f>
        <v>0</v>
      </c>
      <c r="F132" s="872" cm="1">
        <f t="array" ref="F132">_xlfn.XLOOKUP(A132&amp;D132, $A$562:$J$562&amp;$A$563:$J$563, $A$565:$J$565, " ")</f>
        <v>0</v>
      </c>
      <c r="G132" s="510"/>
      <c r="H132" s="840"/>
      <c r="I132" s="510"/>
      <c r="J132" s="510"/>
      <c r="K132" s="511"/>
      <c r="L132" s="510"/>
      <c r="M132" s="580"/>
      <c r="N132" s="580"/>
      <c r="O132" s="580"/>
      <c r="P132" s="910"/>
      <c r="Q132" s="910"/>
      <c r="R132" s="910"/>
      <c r="S132" s="910"/>
      <c r="T132" s="910"/>
      <c r="U132" s="910"/>
      <c r="V132" s="910"/>
    </row>
    <row r="133" spans="1:22" x14ac:dyDescent="0.25">
      <c r="A133" s="772"/>
      <c r="B133" s="767" t="str">
        <f t="shared" si="2"/>
        <v xml:space="preserve"> </v>
      </c>
      <c r="C133" s="768" t="str">
        <f t="shared" si="3"/>
        <v xml:space="preserve"> </v>
      </c>
      <c r="D133" s="486"/>
      <c r="E133" s="308" cm="1">
        <f t="array" ref="E133">_xlfn.XLOOKUP(A133&amp;D133, $A$562:$J$562&amp;$A$563:$J$563, $A$564:$J$564, " ")</f>
        <v>0</v>
      </c>
      <c r="F133" s="872" cm="1">
        <f t="array" ref="F133">_xlfn.XLOOKUP(A133&amp;D133, $A$562:$J$562&amp;$A$563:$J$563, $A$565:$J$565, " ")</f>
        <v>0</v>
      </c>
      <c r="G133" s="510"/>
      <c r="H133" s="840"/>
      <c r="I133" s="510"/>
      <c r="J133" s="510"/>
      <c r="K133" s="511"/>
      <c r="L133" s="510"/>
      <c r="M133" s="580"/>
      <c r="N133" s="580"/>
      <c r="O133" s="580"/>
      <c r="P133" s="910"/>
      <c r="Q133" s="910"/>
      <c r="R133" s="910"/>
      <c r="S133" s="910"/>
      <c r="T133" s="910"/>
      <c r="U133" s="910"/>
      <c r="V133" s="910"/>
    </row>
    <row r="134" spans="1:22" x14ac:dyDescent="0.25">
      <c r="A134" s="772"/>
      <c r="B134" s="767" t="str">
        <f t="shared" si="2"/>
        <v xml:space="preserve"> </v>
      </c>
      <c r="C134" s="768" t="str">
        <f t="shared" si="3"/>
        <v xml:space="preserve"> </v>
      </c>
      <c r="D134" s="486"/>
      <c r="E134" s="308" cm="1">
        <f t="array" ref="E134">_xlfn.XLOOKUP(A134&amp;D134, $A$562:$J$562&amp;$A$563:$J$563, $A$564:$J$564, " ")</f>
        <v>0</v>
      </c>
      <c r="F134" s="872" cm="1">
        <f t="array" ref="F134">_xlfn.XLOOKUP(A134&amp;D134, $A$562:$J$562&amp;$A$563:$J$563, $A$565:$J$565, " ")</f>
        <v>0</v>
      </c>
      <c r="G134" s="510"/>
      <c r="H134" s="840"/>
      <c r="I134" s="510"/>
      <c r="J134" s="510"/>
      <c r="K134" s="511"/>
      <c r="L134" s="510"/>
      <c r="M134" s="580"/>
      <c r="N134" s="580"/>
      <c r="O134" s="580"/>
      <c r="P134" s="910"/>
      <c r="Q134" s="910"/>
      <c r="R134" s="910"/>
      <c r="S134" s="910"/>
      <c r="T134" s="910"/>
      <c r="U134" s="910"/>
      <c r="V134" s="910"/>
    </row>
    <row r="135" spans="1:22" x14ac:dyDescent="0.25">
      <c r="A135" s="772"/>
      <c r="B135" s="767" t="str">
        <f t="shared" si="2"/>
        <v xml:space="preserve"> </v>
      </c>
      <c r="C135" s="768" t="str">
        <f t="shared" si="3"/>
        <v xml:space="preserve"> </v>
      </c>
      <c r="D135" s="486"/>
      <c r="E135" s="308" cm="1">
        <f t="array" ref="E135">_xlfn.XLOOKUP(A135&amp;D135, $A$562:$J$562&amp;$A$563:$J$563, $A$564:$J$564, " ")</f>
        <v>0</v>
      </c>
      <c r="F135" s="872" cm="1">
        <f t="array" ref="F135">_xlfn.XLOOKUP(A135&amp;D135, $A$562:$J$562&amp;$A$563:$J$563, $A$565:$J$565, " ")</f>
        <v>0</v>
      </c>
      <c r="G135" s="510"/>
      <c r="H135" s="840"/>
      <c r="I135" s="510"/>
      <c r="J135" s="510"/>
      <c r="K135" s="511"/>
      <c r="L135" s="510"/>
      <c r="M135" s="580"/>
      <c r="N135" s="580"/>
      <c r="O135" s="580"/>
      <c r="P135" s="910"/>
      <c r="Q135" s="910"/>
      <c r="R135" s="910"/>
      <c r="S135" s="910"/>
      <c r="T135" s="910"/>
      <c r="U135" s="910"/>
      <c r="V135" s="910"/>
    </row>
    <row r="136" spans="1:22" x14ac:dyDescent="0.25">
      <c r="A136" s="772"/>
      <c r="B136" s="767" t="str">
        <f t="shared" si="2"/>
        <v xml:space="preserve"> </v>
      </c>
      <c r="C136" s="768" t="str">
        <f t="shared" si="3"/>
        <v xml:space="preserve"> </v>
      </c>
      <c r="D136" s="486"/>
      <c r="E136" s="308" cm="1">
        <f t="array" ref="E136">_xlfn.XLOOKUP(A136&amp;D136, $A$562:$J$562&amp;$A$563:$J$563, $A$564:$J$564, " ")</f>
        <v>0</v>
      </c>
      <c r="F136" s="872" cm="1">
        <f t="array" ref="F136">_xlfn.XLOOKUP(A136&amp;D136, $A$562:$J$562&amp;$A$563:$J$563, $A$565:$J$565, " ")</f>
        <v>0</v>
      </c>
      <c r="G136" s="510"/>
      <c r="H136" s="840"/>
      <c r="I136" s="510"/>
      <c r="J136" s="510"/>
      <c r="K136" s="511"/>
      <c r="L136" s="510"/>
      <c r="M136" s="580"/>
      <c r="N136" s="580"/>
      <c r="O136" s="580"/>
      <c r="P136" s="910"/>
      <c r="Q136" s="910"/>
      <c r="R136" s="910"/>
      <c r="S136" s="910"/>
      <c r="T136" s="910"/>
      <c r="U136" s="910"/>
      <c r="V136" s="910"/>
    </row>
    <row r="137" spans="1:22" x14ac:dyDescent="0.25">
      <c r="A137" s="772"/>
      <c r="B137" s="767" t="str">
        <f t="shared" si="2"/>
        <v xml:space="preserve"> </v>
      </c>
      <c r="C137" s="768" t="str">
        <f t="shared" si="3"/>
        <v xml:space="preserve"> </v>
      </c>
      <c r="D137" s="486"/>
      <c r="E137" s="308" cm="1">
        <f t="array" ref="E137">_xlfn.XLOOKUP(A137&amp;D137, $A$562:$J$562&amp;$A$563:$J$563, $A$564:$J$564, " ")</f>
        <v>0</v>
      </c>
      <c r="F137" s="872" cm="1">
        <f t="array" ref="F137">_xlfn.XLOOKUP(A137&amp;D137, $A$562:$J$562&amp;$A$563:$J$563, $A$565:$J$565, " ")</f>
        <v>0</v>
      </c>
      <c r="G137" s="510"/>
      <c r="H137" s="840"/>
      <c r="I137" s="510"/>
      <c r="J137" s="510"/>
      <c r="K137" s="511"/>
      <c r="L137" s="510"/>
      <c r="M137" s="580"/>
      <c r="N137" s="580"/>
      <c r="O137" s="580"/>
      <c r="P137" s="910"/>
      <c r="Q137" s="910"/>
      <c r="R137" s="910"/>
      <c r="S137" s="910"/>
      <c r="T137" s="910"/>
      <c r="U137" s="910"/>
      <c r="V137" s="910"/>
    </row>
    <row r="138" spans="1:22" x14ac:dyDescent="0.25">
      <c r="A138" s="772"/>
      <c r="B138" s="767" t="str">
        <f t="shared" si="2"/>
        <v xml:space="preserve"> </v>
      </c>
      <c r="C138" s="768" t="str">
        <f t="shared" si="3"/>
        <v xml:space="preserve"> </v>
      </c>
      <c r="D138" s="486"/>
      <c r="E138" s="308" cm="1">
        <f t="array" ref="E138">_xlfn.XLOOKUP(A138&amp;D138, $A$562:$J$562&amp;$A$563:$J$563, $A$564:$J$564, " ")</f>
        <v>0</v>
      </c>
      <c r="F138" s="872" cm="1">
        <f t="array" ref="F138">_xlfn.XLOOKUP(A138&amp;D138, $A$562:$J$562&amp;$A$563:$J$563, $A$565:$J$565, " ")</f>
        <v>0</v>
      </c>
      <c r="G138" s="510"/>
      <c r="H138" s="840"/>
      <c r="I138" s="510"/>
      <c r="J138" s="510"/>
      <c r="K138" s="511"/>
      <c r="L138" s="510"/>
      <c r="M138" s="580"/>
      <c r="N138" s="580"/>
      <c r="O138" s="580"/>
      <c r="P138" s="910"/>
      <c r="Q138" s="910"/>
      <c r="R138" s="910"/>
      <c r="S138" s="910"/>
      <c r="T138" s="910"/>
      <c r="U138" s="910"/>
      <c r="V138" s="910"/>
    </row>
    <row r="139" spans="1:22" x14ac:dyDescent="0.25">
      <c r="A139" s="772"/>
      <c r="B139" s="767" t="str">
        <f t="shared" ref="B139:B202" si="4">IF(ISBLANK(A139), " ", _xlfn.XLOOKUP(A139,$A$552:$C$552,$A$553:$C$553))</f>
        <v xml:space="preserve"> </v>
      </c>
      <c r="C139" s="768" t="str">
        <f t="shared" ref="C139:C202" si="5">IF(ISBLANK(A139), " ", _xlfn.XLOOKUP(A139,$A$552:$C$552,$A$554:$C$554))</f>
        <v xml:space="preserve"> </v>
      </c>
      <c r="D139" s="486"/>
      <c r="E139" s="308" cm="1">
        <f t="array" ref="E139">_xlfn.XLOOKUP(A139&amp;D139, $A$562:$J$562&amp;$A$563:$J$563, $A$564:$J$564, " ")</f>
        <v>0</v>
      </c>
      <c r="F139" s="872" cm="1">
        <f t="array" ref="F139">_xlfn.XLOOKUP(A139&amp;D139, $A$562:$J$562&amp;$A$563:$J$563, $A$565:$J$565, " ")</f>
        <v>0</v>
      </c>
      <c r="G139" s="510"/>
      <c r="H139" s="840"/>
      <c r="I139" s="510"/>
      <c r="J139" s="510"/>
      <c r="K139" s="511"/>
      <c r="L139" s="510"/>
      <c r="M139" s="580"/>
      <c r="N139" s="580"/>
      <c r="O139" s="580"/>
      <c r="P139" s="910"/>
      <c r="Q139" s="910"/>
      <c r="R139" s="910"/>
      <c r="S139" s="910"/>
      <c r="T139" s="910"/>
      <c r="U139" s="910"/>
      <c r="V139" s="910"/>
    </row>
    <row r="140" spans="1:22" x14ac:dyDescent="0.25">
      <c r="A140" s="772"/>
      <c r="B140" s="767" t="str">
        <f t="shared" si="4"/>
        <v xml:space="preserve"> </v>
      </c>
      <c r="C140" s="768" t="str">
        <f t="shared" si="5"/>
        <v xml:space="preserve"> </v>
      </c>
      <c r="D140" s="486"/>
      <c r="E140" s="308" cm="1">
        <f t="array" ref="E140">_xlfn.XLOOKUP(A140&amp;D140, $A$562:$J$562&amp;$A$563:$J$563, $A$564:$J$564, " ")</f>
        <v>0</v>
      </c>
      <c r="F140" s="872" cm="1">
        <f t="array" ref="F140">_xlfn.XLOOKUP(A140&amp;D140, $A$562:$J$562&amp;$A$563:$J$563, $A$565:$J$565, " ")</f>
        <v>0</v>
      </c>
      <c r="G140" s="510"/>
      <c r="H140" s="840"/>
      <c r="I140" s="510"/>
      <c r="J140" s="510"/>
      <c r="K140" s="511"/>
      <c r="L140" s="510"/>
      <c r="M140" s="580"/>
      <c r="N140" s="580"/>
      <c r="O140" s="580"/>
      <c r="P140" s="910"/>
      <c r="Q140" s="910"/>
      <c r="R140" s="910"/>
      <c r="S140" s="910"/>
      <c r="T140" s="910"/>
      <c r="U140" s="910"/>
      <c r="V140" s="910"/>
    </row>
    <row r="141" spans="1:22" x14ac:dyDescent="0.25">
      <c r="A141" s="772"/>
      <c r="B141" s="767" t="str">
        <f t="shared" si="4"/>
        <v xml:space="preserve"> </v>
      </c>
      <c r="C141" s="768" t="str">
        <f t="shared" si="5"/>
        <v xml:space="preserve"> </v>
      </c>
      <c r="D141" s="486"/>
      <c r="E141" s="308" cm="1">
        <f t="array" ref="E141">_xlfn.XLOOKUP(A141&amp;D141, $A$562:$J$562&amp;$A$563:$J$563, $A$564:$J$564, " ")</f>
        <v>0</v>
      </c>
      <c r="F141" s="872" cm="1">
        <f t="array" ref="F141">_xlfn.XLOOKUP(A141&amp;D141, $A$562:$J$562&amp;$A$563:$J$563, $A$565:$J$565, " ")</f>
        <v>0</v>
      </c>
      <c r="G141" s="510"/>
      <c r="H141" s="840"/>
      <c r="I141" s="510"/>
      <c r="J141" s="510"/>
      <c r="K141" s="511"/>
      <c r="L141" s="510"/>
      <c r="M141" s="580"/>
      <c r="N141" s="580"/>
      <c r="O141" s="580"/>
      <c r="P141" s="910"/>
      <c r="Q141" s="910"/>
      <c r="R141" s="910"/>
      <c r="S141" s="910"/>
      <c r="T141" s="910"/>
      <c r="U141" s="910"/>
      <c r="V141" s="910"/>
    </row>
    <row r="142" spans="1:22" x14ac:dyDescent="0.25">
      <c r="A142" s="772"/>
      <c r="B142" s="767" t="str">
        <f t="shared" si="4"/>
        <v xml:space="preserve"> </v>
      </c>
      <c r="C142" s="768" t="str">
        <f t="shared" si="5"/>
        <v xml:space="preserve"> </v>
      </c>
      <c r="D142" s="486"/>
      <c r="E142" s="308" cm="1">
        <f t="array" ref="E142">_xlfn.XLOOKUP(A142&amp;D142, $A$562:$J$562&amp;$A$563:$J$563, $A$564:$J$564, " ")</f>
        <v>0</v>
      </c>
      <c r="F142" s="872" cm="1">
        <f t="array" ref="F142">_xlfn.XLOOKUP(A142&amp;D142, $A$562:$J$562&amp;$A$563:$J$563, $A$565:$J$565, " ")</f>
        <v>0</v>
      </c>
      <c r="G142" s="510"/>
      <c r="H142" s="840"/>
      <c r="I142" s="510"/>
      <c r="J142" s="510"/>
      <c r="K142" s="511"/>
      <c r="L142" s="510"/>
      <c r="M142" s="580"/>
      <c r="N142" s="580"/>
      <c r="O142" s="580"/>
      <c r="P142" s="910"/>
      <c r="Q142" s="910"/>
      <c r="R142" s="910"/>
      <c r="S142" s="910"/>
      <c r="T142" s="910"/>
      <c r="U142" s="910"/>
      <c r="V142" s="910"/>
    </row>
    <row r="143" spans="1:22" x14ac:dyDescent="0.25">
      <c r="A143" s="772"/>
      <c r="B143" s="767" t="str">
        <f t="shared" si="4"/>
        <v xml:space="preserve"> </v>
      </c>
      <c r="C143" s="768" t="str">
        <f t="shared" si="5"/>
        <v xml:space="preserve"> </v>
      </c>
      <c r="D143" s="486"/>
      <c r="E143" s="308" cm="1">
        <f t="array" ref="E143">_xlfn.XLOOKUP(A143&amp;D143, $A$562:$J$562&amp;$A$563:$J$563, $A$564:$J$564, " ")</f>
        <v>0</v>
      </c>
      <c r="F143" s="872" cm="1">
        <f t="array" ref="F143">_xlfn.XLOOKUP(A143&amp;D143, $A$562:$J$562&amp;$A$563:$J$563, $A$565:$J$565, " ")</f>
        <v>0</v>
      </c>
      <c r="G143" s="510"/>
      <c r="H143" s="840"/>
      <c r="I143" s="510"/>
      <c r="J143" s="510"/>
      <c r="K143" s="511"/>
      <c r="L143" s="510"/>
      <c r="M143" s="580"/>
      <c r="N143" s="580"/>
      <c r="O143" s="580"/>
      <c r="P143" s="910"/>
      <c r="Q143" s="910"/>
      <c r="R143" s="910"/>
      <c r="S143" s="910"/>
      <c r="T143" s="910"/>
      <c r="U143" s="910"/>
      <c r="V143" s="910"/>
    </row>
    <row r="144" spans="1:22" x14ac:dyDescent="0.25">
      <c r="A144" s="772"/>
      <c r="B144" s="767" t="str">
        <f t="shared" si="4"/>
        <v xml:space="preserve"> </v>
      </c>
      <c r="C144" s="768" t="str">
        <f t="shared" si="5"/>
        <v xml:space="preserve"> </v>
      </c>
      <c r="D144" s="486"/>
      <c r="E144" s="308" cm="1">
        <f t="array" ref="E144">_xlfn.XLOOKUP(A144&amp;D144, $A$562:$J$562&amp;$A$563:$J$563, $A$564:$J$564, " ")</f>
        <v>0</v>
      </c>
      <c r="F144" s="872" cm="1">
        <f t="array" ref="F144">_xlfn.XLOOKUP(A144&amp;D144, $A$562:$J$562&amp;$A$563:$J$563, $A$565:$J$565, " ")</f>
        <v>0</v>
      </c>
      <c r="G144" s="510"/>
      <c r="H144" s="840"/>
      <c r="I144" s="510"/>
      <c r="J144" s="510"/>
      <c r="K144" s="511"/>
      <c r="L144" s="510"/>
      <c r="M144" s="580"/>
      <c r="N144" s="580"/>
      <c r="O144" s="580"/>
      <c r="P144" s="910"/>
      <c r="Q144" s="910"/>
      <c r="R144" s="910"/>
      <c r="S144" s="910"/>
      <c r="T144" s="910"/>
      <c r="U144" s="910"/>
      <c r="V144" s="910"/>
    </row>
    <row r="145" spans="1:22" x14ac:dyDescent="0.25">
      <c r="A145" s="772"/>
      <c r="B145" s="767" t="str">
        <f t="shared" si="4"/>
        <v xml:space="preserve"> </v>
      </c>
      <c r="C145" s="768" t="str">
        <f t="shared" si="5"/>
        <v xml:space="preserve"> </v>
      </c>
      <c r="D145" s="486"/>
      <c r="E145" s="308" cm="1">
        <f t="array" ref="E145">_xlfn.XLOOKUP(A145&amp;D145, $A$562:$J$562&amp;$A$563:$J$563, $A$564:$J$564, " ")</f>
        <v>0</v>
      </c>
      <c r="F145" s="872" cm="1">
        <f t="array" ref="F145">_xlfn.XLOOKUP(A145&amp;D145, $A$562:$J$562&amp;$A$563:$J$563, $A$565:$J$565, " ")</f>
        <v>0</v>
      </c>
      <c r="G145" s="510"/>
      <c r="H145" s="840"/>
      <c r="I145" s="510"/>
      <c r="J145" s="510"/>
      <c r="K145" s="511"/>
      <c r="L145" s="510"/>
      <c r="M145" s="580"/>
      <c r="N145" s="580"/>
      <c r="O145" s="580"/>
      <c r="P145" s="910"/>
      <c r="Q145" s="910"/>
      <c r="R145" s="910"/>
      <c r="S145" s="910"/>
      <c r="T145" s="910"/>
      <c r="U145" s="910"/>
      <c r="V145" s="910"/>
    </row>
    <row r="146" spans="1:22" x14ac:dyDescent="0.25">
      <c r="A146" s="772"/>
      <c r="B146" s="767" t="str">
        <f t="shared" si="4"/>
        <v xml:space="preserve"> </v>
      </c>
      <c r="C146" s="768" t="str">
        <f t="shared" si="5"/>
        <v xml:space="preserve"> </v>
      </c>
      <c r="D146" s="486"/>
      <c r="E146" s="308" cm="1">
        <f t="array" ref="E146">_xlfn.XLOOKUP(A146&amp;D146, $A$562:$J$562&amp;$A$563:$J$563, $A$564:$J$564, " ")</f>
        <v>0</v>
      </c>
      <c r="F146" s="872" cm="1">
        <f t="array" ref="F146">_xlfn.XLOOKUP(A146&amp;D146, $A$562:$J$562&amp;$A$563:$J$563, $A$565:$J$565, " ")</f>
        <v>0</v>
      </c>
      <c r="G146" s="510"/>
      <c r="H146" s="840"/>
      <c r="I146" s="510"/>
      <c r="J146" s="510"/>
      <c r="K146" s="511"/>
      <c r="L146" s="510"/>
      <c r="M146" s="580"/>
      <c r="N146" s="580"/>
      <c r="O146" s="580"/>
      <c r="P146" s="910"/>
      <c r="Q146" s="910"/>
      <c r="R146" s="910"/>
      <c r="S146" s="910"/>
      <c r="T146" s="910"/>
      <c r="U146" s="910"/>
      <c r="V146" s="910"/>
    </row>
    <row r="147" spans="1:22" x14ac:dyDescent="0.25">
      <c r="A147" s="772"/>
      <c r="B147" s="767" t="str">
        <f t="shared" si="4"/>
        <v xml:space="preserve"> </v>
      </c>
      <c r="C147" s="768" t="str">
        <f t="shared" si="5"/>
        <v xml:space="preserve"> </v>
      </c>
      <c r="D147" s="486"/>
      <c r="E147" s="308" cm="1">
        <f t="array" ref="E147">_xlfn.XLOOKUP(A147&amp;D147, $A$562:$J$562&amp;$A$563:$J$563, $A$564:$J$564, " ")</f>
        <v>0</v>
      </c>
      <c r="F147" s="872" cm="1">
        <f t="array" ref="F147">_xlfn.XLOOKUP(A147&amp;D147, $A$562:$J$562&amp;$A$563:$J$563, $A$565:$J$565, " ")</f>
        <v>0</v>
      </c>
      <c r="G147" s="510"/>
      <c r="H147" s="840"/>
      <c r="I147" s="510"/>
      <c r="J147" s="510"/>
      <c r="K147" s="511"/>
      <c r="L147" s="510"/>
      <c r="M147" s="580"/>
      <c r="N147" s="580"/>
      <c r="O147" s="580"/>
      <c r="P147" s="910"/>
      <c r="Q147" s="910"/>
      <c r="R147" s="910"/>
      <c r="S147" s="910"/>
      <c r="T147" s="910"/>
      <c r="U147" s="910"/>
      <c r="V147" s="910"/>
    </row>
    <row r="148" spans="1:22" x14ac:dyDescent="0.25">
      <c r="A148" s="772"/>
      <c r="B148" s="767" t="str">
        <f t="shared" si="4"/>
        <v xml:space="preserve"> </v>
      </c>
      <c r="C148" s="768" t="str">
        <f t="shared" si="5"/>
        <v xml:space="preserve"> </v>
      </c>
      <c r="D148" s="486"/>
      <c r="E148" s="308" cm="1">
        <f t="array" ref="E148">_xlfn.XLOOKUP(A148&amp;D148, $A$562:$J$562&amp;$A$563:$J$563, $A$564:$J$564, " ")</f>
        <v>0</v>
      </c>
      <c r="F148" s="872" cm="1">
        <f t="array" ref="F148">_xlfn.XLOOKUP(A148&amp;D148, $A$562:$J$562&amp;$A$563:$J$563, $A$565:$J$565, " ")</f>
        <v>0</v>
      </c>
      <c r="G148" s="510"/>
      <c r="H148" s="840"/>
      <c r="I148" s="510"/>
      <c r="J148" s="510"/>
      <c r="K148" s="511"/>
      <c r="L148" s="510"/>
      <c r="M148" s="580"/>
      <c r="N148" s="580"/>
      <c r="O148" s="580"/>
      <c r="P148" s="910"/>
      <c r="Q148" s="910"/>
      <c r="R148" s="910"/>
      <c r="S148" s="910"/>
      <c r="T148" s="910"/>
      <c r="U148" s="910"/>
      <c r="V148" s="910"/>
    </row>
    <row r="149" spans="1:22" x14ac:dyDescent="0.25">
      <c r="A149" s="772"/>
      <c r="B149" s="767" t="str">
        <f t="shared" si="4"/>
        <v xml:space="preserve"> </v>
      </c>
      <c r="C149" s="768" t="str">
        <f t="shared" si="5"/>
        <v xml:space="preserve"> </v>
      </c>
      <c r="D149" s="486"/>
      <c r="E149" s="308" cm="1">
        <f t="array" ref="E149">_xlfn.XLOOKUP(A149&amp;D149, $A$562:$J$562&amp;$A$563:$J$563, $A$564:$J$564, " ")</f>
        <v>0</v>
      </c>
      <c r="F149" s="872" cm="1">
        <f t="array" ref="F149">_xlfn.XLOOKUP(A149&amp;D149, $A$562:$J$562&amp;$A$563:$J$563, $A$565:$J$565, " ")</f>
        <v>0</v>
      </c>
      <c r="G149" s="510"/>
      <c r="H149" s="840"/>
      <c r="I149" s="510"/>
      <c r="J149" s="510"/>
      <c r="K149" s="511"/>
      <c r="L149" s="510"/>
      <c r="M149" s="580"/>
      <c r="N149" s="580"/>
      <c r="O149" s="580"/>
      <c r="P149" s="910"/>
      <c r="Q149" s="910"/>
      <c r="R149" s="910"/>
      <c r="S149" s="910"/>
      <c r="T149" s="910"/>
      <c r="U149" s="910"/>
      <c r="V149" s="910"/>
    </row>
    <row r="150" spans="1:22" x14ac:dyDescent="0.25">
      <c r="A150" s="772"/>
      <c r="B150" s="767" t="str">
        <f t="shared" si="4"/>
        <v xml:space="preserve"> </v>
      </c>
      <c r="C150" s="768" t="str">
        <f t="shared" si="5"/>
        <v xml:space="preserve"> </v>
      </c>
      <c r="D150" s="486"/>
      <c r="E150" s="308" cm="1">
        <f t="array" ref="E150">_xlfn.XLOOKUP(A150&amp;D150, $A$562:$J$562&amp;$A$563:$J$563, $A$564:$J$564, " ")</f>
        <v>0</v>
      </c>
      <c r="F150" s="872" cm="1">
        <f t="array" ref="F150">_xlfn.XLOOKUP(A150&amp;D150, $A$562:$J$562&amp;$A$563:$J$563, $A$565:$J$565, " ")</f>
        <v>0</v>
      </c>
      <c r="G150" s="510"/>
      <c r="H150" s="840"/>
      <c r="I150" s="510"/>
      <c r="J150" s="510"/>
      <c r="K150" s="511"/>
      <c r="L150" s="510"/>
      <c r="M150" s="580"/>
      <c r="N150" s="580"/>
      <c r="O150" s="580"/>
      <c r="P150" s="910"/>
      <c r="Q150" s="910"/>
      <c r="R150" s="910"/>
      <c r="S150" s="910"/>
      <c r="T150" s="910"/>
      <c r="U150" s="910"/>
      <c r="V150" s="910"/>
    </row>
    <row r="151" spans="1:22" x14ac:dyDescent="0.25">
      <c r="A151" s="772"/>
      <c r="B151" s="767" t="str">
        <f t="shared" si="4"/>
        <v xml:space="preserve"> </v>
      </c>
      <c r="C151" s="768" t="str">
        <f t="shared" si="5"/>
        <v xml:space="preserve"> </v>
      </c>
      <c r="D151" s="486"/>
      <c r="E151" s="308" cm="1">
        <f t="array" ref="E151">_xlfn.XLOOKUP(A151&amp;D151, $A$562:$J$562&amp;$A$563:$J$563, $A$564:$J$564, " ")</f>
        <v>0</v>
      </c>
      <c r="F151" s="872" cm="1">
        <f t="array" ref="F151">_xlfn.XLOOKUP(A151&amp;D151, $A$562:$J$562&amp;$A$563:$J$563, $A$565:$J$565, " ")</f>
        <v>0</v>
      </c>
      <c r="G151" s="510"/>
      <c r="H151" s="840"/>
      <c r="I151" s="510"/>
      <c r="J151" s="510"/>
      <c r="K151" s="511"/>
      <c r="L151" s="510"/>
      <c r="M151" s="580"/>
      <c r="N151" s="580"/>
      <c r="O151" s="580"/>
      <c r="P151" s="910"/>
      <c r="Q151" s="910"/>
      <c r="R151" s="910"/>
      <c r="S151" s="910"/>
      <c r="T151" s="910"/>
      <c r="U151" s="910"/>
      <c r="V151" s="910"/>
    </row>
    <row r="152" spans="1:22" x14ac:dyDescent="0.25">
      <c r="A152" s="772"/>
      <c r="B152" s="767" t="str">
        <f t="shared" si="4"/>
        <v xml:space="preserve"> </v>
      </c>
      <c r="C152" s="768" t="str">
        <f t="shared" si="5"/>
        <v xml:space="preserve"> </v>
      </c>
      <c r="D152" s="486"/>
      <c r="E152" s="308" cm="1">
        <f t="array" ref="E152">_xlfn.XLOOKUP(A152&amp;D152, $A$562:$J$562&amp;$A$563:$J$563, $A$564:$J$564, " ")</f>
        <v>0</v>
      </c>
      <c r="F152" s="872" cm="1">
        <f t="array" ref="F152">_xlfn.XLOOKUP(A152&amp;D152, $A$562:$J$562&amp;$A$563:$J$563, $A$565:$J$565, " ")</f>
        <v>0</v>
      </c>
      <c r="G152" s="510"/>
      <c r="H152" s="840"/>
      <c r="I152" s="510"/>
      <c r="J152" s="510"/>
      <c r="K152" s="511"/>
      <c r="L152" s="510"/>
      <c r="M152" s="580"/>
      <c r="N152" s="580"/>
      <c r="O152" s="580"/>
      <c r="P152" s="910"/>
      <c r="Q152" s="910"/>
      <c r="R152" s="910"/>
      <c r="S152" s="910"/>
      <c r="T152" s="910"/>
      <c r="U152" s="910"/>
      <c r="V152" s="910"/>
    </row>
    <row r="153" spans="1:22" x14ac:dyDescent="0.25">
      <c r="A153" s="772"/>
      <c r="B153" s="767" t="str">
        <f t="shared" si="4"/>
        <v xml:space="preserve"> </v>
      </c>
      <c r="C153" s="768" t="str">
        <f t="shared" si="5"/>
        <v xml:space="preserve"> </v>
      </c>
      <c r="D153" s="486"/>
      <c r="E153" s="308" cm="1">
        <f t="array" ref="E153">_xlfn.XLOOKUP(A153&amp;D153, $A$562:$J$562&amp;$A$563:$J$563, $A$564:$J$564, " ")</f>
        <v>0</v>
      </c>
      <c r="F153" s="872" cm="1">
        <f t="array" ref="F153">_xlfn.XLOOKUP(A153&amp;D153, $A$562:$J$562&amp;$A$563:$J$563, $A$565:$J$565, " ")</f>
        <v>0</v>
      </c>
      <c r="G153" s="510"/>
      <c r="H153" s="840"/>
      <c r="I153" s="510"/>
      <c r="J153" s="510"/>
      <c r="K153" s="511"/>
      <c r="L153" s="510"/>
      <c r="M153" s="580"/>
      <c r="N153" s="580"/>
      <c r="O153" s="580"/>
      <c r="P153" s="910"/>
      <c r="Q153" s="910"/>
      <c r="R153" s="910"/>
      <c r="S153" s="910"/>
      <c r="T153" s="910"/>
      <c r="U153" s="910"/>
      <c r="V153" s="910"/>
    </row>
    <row r="154" spans="1:22" x14ac:dyDescent="0.25">
      <c r="A154" s="772"/>
      <c r="B154" s="767" t="str">
        <f t="shared" si="4"/>
        <v xml:space="preserve"> </v>
      </c>
      <c r="C154" s="768" t="str">
        <f t="shared" si="5"/>
        <v xml:space="preserve"> </v>
      </c>
      <c r="D154" s="486"/>
      <c r="E154" s="308" cm="1">
        <f t="array" ref="E154">_xlfn.XLOOKUP(A154&amp;D154, $A$562:$J$562&amp;$A$563:$J$563, $A$564:$J$564, " ")</f>
        <v>0</v>
      </c>
      <c r="F154" s="872" cm="1">
        <f t="array" ref="F154">_xlfn.XLOOKUP(A154&amp;D154, $A$562:$J$562&amp;$A$563:$J$563, $A$565:$J$565, " ")</f>
        <v>0</v>
      </c>
      <c r="G154" s="510"/>
      <c r="H154" s="840"/>
      <c r="I154" s="510"/>
      <c r="J154" s="510"/>
      <c r="K154" s="511"/>
      <c r="L154" s="510"/>
      <c r="M154" s="580"/>
      <c r="N154" s="580"/>
      <c r="O154" s="580"/>
      <c r="P154" s="910"/>
      <c r="Q154" s="910"/>
      <c r="R154" s="910"/>
      <c r="S154" s="910"/>
      <c r="T154" s="910"/>
      <c r="U154" s="910"/>
      <c r="V154" s="910"/>
    </row>
    <row r="155" spans="1:22" x14ac:dyDescent="0.25">
      <c r="A155" s="772"/>
      <c r="B155" s="767" t="str">
        <f t="shared" si="4"/>
        <v xml:space="preserve"> </v>
      </c>
      <c r="C155" s="768" t="str">
        <f t="shared" si="5"/>
        <v xml:space="preserve"> </v>
      </c>
      <c r="D155" s="486"/>
      <c r="E155" s="308" cm="1">
        <f t="array" ref="E155">_xlfn.XLOOKUP(A155&amp;D155, $A$562:$J$562&amp;$A$563:$J$563, $A$564:$J$564, " ")</f>
        <v>0</v>
      </c>
      <c r="F155" s="872" cm="1">
        <f t="array" ref="F155">_xlfn.XLOOKUP(A155&amp;D155, $A$562:$J$562&amp;$A$563:$J$563, $A$565:$J$565, " ")</f>
        <v>0</v>
      </c>
      <c r="G155" s="510"/>
      <c r="H155" s="840"/>
      <c r="I155" s="510"/>
      <c r="J155" s="510"/>
      <c r="K155" s="511"/>
      <c r="L155" s="510"/>
      <c r="M155" s="580"/>
      <c r="N155" s="580"/>
      <c r="O155" s="580"/>
      <c r="P155" s="910"/>
      <c r="Q155" s="910"/>
      <c r="R155" s="910"/>
      <c r="S155" s="910"/>
      <c r="T155" s="910"/>
      <c r="U155" s="910"/>
      <c r="V155" s="910"/>
    </row>
    <row r="156" spans="1:22" x14ac:dyDescent="0.25">
      <c r="A156" s="772"/>
      <c r="B156" s="767" t="str">
        <f t="shared" si="4"/>
        <v xml:space="preserve"> </v>
      </c>
      <c r="C156" s="768" t="str">
        <f t="shared" si="5"/>
        <v xml:space="preserve"> </v>
      </c>
      <c r="D156" s="486"/>
      <c r="E156" s="308" cm="1">
        <f t="array" ref="E156">_xlfn.XLOOKUP(A156&amp;D156, $A$562:$J$562&amp;$A$563:$J$563, $A$564:$J$564, " ")</f>
        <v>0</v>
      </c>
      <c r="F156" s="872" cm="1">
        <f t="array" ref="F156">_xlfn.XLOOKUP(A156&amp;D156, $A$562:$J$562&amp;$A$563:$J$563, $A$565:$J$565, " ")</f>
        <v>0</v>
      </c>
      <c r="G156" s="510"/>
      <c r="H156" s="840"/>
      <c r="I156" s="510"/>
      <c r="J156" s="510"/>
      <c r="K156" s="511"/>
      <c r="L156" s="510"/>
      <c r="M156" s="580"/>
      <c r="N156" s="580"/>
      <c r="O156" s="580"/>
      <c r="P156" s="910"/>
      <c r="Q156" s="910"/>
      <c r="R156" s="910"/>
      <c r="S156" s="910"/>
      <c r="T156" s="910"/>
      <c r="U156" s="910"/>
      <c r="V156" s="910"/>
    </row>
    <row r="157" spans="1:22" x14ac:dyDescent="0.25">
      <c r="A157" s="772"/>
      <c r="B157" s="767" t="str">
        <f t="shared" si="4"/>
        <v xml:space="preserve"> </v>
      </c>
      <c r="C157" s="768" t="str">
        <f t="shared" si="5"/>
        <v xml:space="preserve"> </v>
      </c>
      <c r="D157" s="486"/>
      <c r="E157" s="308" cm="1">
        <f t="array" ref="E157">_xlfn.XLOOKUP(A157&amp;D157, $A$562:$J$562&amp;$A$563:$J$563, $A$564:$J$564, " ")</f>
        <v>0</v>
      </c>
      <c r="F157" s="872" cm="1">
        <f t="array" ref="F157">_xlfn.XLOOKUP(A157&amp;D157, $A$562:$J$562&amp;$A$563:$J$563, $A$565:$J$565, " ")</f>
        <v>0</v>
      </c>
      <c r="G157" s="510"/>
      <c r="H157" s="840"/>
      <c r="I157" s="510"/>
      <c r="J157" s="510"/>
      <c r="K157" s="511"/>
      <c r="L157" s="510"/>
      <c r="M157" s="580"/>
      <c r="N157" s="580"/>
      <c r="O157" s="580"/>
      <c r="P157" s="910"/>
      <c r="Q157" s="910"/>
      <c r="R157" s="910"/>
      <c r="S157" s="910"/>
      <c r="T157" s="910"/>
      <c r="U157" s="910"/>
      <c r="V157" s="910"/>
    </row>
    <row r="158" spans="1:22" x14ac:dyDescent="0.25">
      <c r="A158" s="772"/>
      <c r="B158" s="767" t="str">
        <f t="shared" si="4"/>
        <v xml:space="preserve"> </v>
      </c>
      <c r="C158" s="768" t="str">
        <f t="shared" si="5"/>
        <v xml:space="preserve"> </v>
      </c>
      <c r="D158" s="486"/>
      <c r="E158" s="308" cm="1">
        <f t="array" ref="E158">_xlfn.XLOOKUP(A158&amp;D158, $A$562:$J$562&amp;$A$563:$J$563, $A$564:$J$564, " ")</f>
        <v>0</v>
      </c>
      <c r="F158" s="872" cm="1">
        <f t="array" ref="F158">_xlfn.XLOOKUP(A158&amp;D158, $A$562:$J$562&amp;$A$563:$J$563, $A$565:$J$565, " ")</f>
        <v>0</v>
      </c>
      <c r="G158" s="510"/>
      <c r="H158" s="840"/>
      <c r="I158" s="510"/>
      <c r="J158" s="510"/>
      <c r="K158" s="511"/>
      <c r="L158" s="510"/>
      <c r="M158" s="580"/>
      <c r="N158" s="580"/>
      <c r="O158" s="580"/>
      <c r="P158" s="910"/>
      <c r="Q158" s="910"/>
      <c r="R158" s="910"/>
      <c r="S158" s="910"/>
      <c r="T158" s="910"/>
      <c r="U158" s="910"/>
      <c r="V158" s="910"/>
    </row>
    <row r="159" spans="1:22" x14ac:dyDescent="0.25">
      <c r="A159" s="772"/>
      <c r="B159" s="767" t="str">
        <f t="shared" si="4"/>
        <v xml:space="preserve"> </v>
      </c>
      <c r="C159" s="768" t="str">
        <f t="shared" si="5"/>
        <v xml:space="preserve"> </v>
      </c>
      <c r="D159" s="486"/>
      <c r="E159" s="308" cm="1">
        <f t="array" ref="E159">_xlfn.XLOOKUP(A159&amp;D159, $A$562:$J$562&amp;$A$563:$J$563, $A$564:$J$564, " ")</f>
        <v>0</v>
      </c>
      <c r="F159" s="872" cm="1">
        <f t="array" ref="F159">_xlfn.XLOOKUP(A159&amp;D159, $A$562:$J$562&amp;$A$563:$J$563, $A$565:$J$565, " ")</f>
        <v>0</v>
      </c>
      <c r="G159" s="510"/>
      <c r="H159" s="840"/>
      <c r="I159" s="510"/>
      <c r="J159" s="510"/>
      <c r="K159" s="511"/>
      <c r="L159" s="510"/>
      <c r="M159" s="580"/>
      <c r="N159" s="580"/>
      <c r="O159" s="580"/>
      <c r="P159" s="910"/>
      <c r="Q159" s="910"/>
      <c r="R159" s="910"/>
      <c r="S159" s="910"/>
      <c r="T159" s="910"/>
      <c r="U159" s="910"/>
      <c r="V159" s="910"/>
    </row>
    <row r="160" spans="1:22" x14ac:dyDescent="0.25">
      <c r="A160" s="772"/>
      <c r="B160" s="767" t="str">
        <f t="shared" si="4"/>
        <v xml:space="preserve"> </v>
      </c>
      <c r="C160" s="768" t="str">
        <f t="shared" si="5"/>
        <v xml:space="preserve"> </v>
      </c>
      <c r="D160" s="486"/>
      <c r="E160" s="308" cm="1">
        <f t="array" ref="E160">_xlfn.XLOOKUP(A160&amp;D160, $A$562:$J$562&amp;$A$563:$J$563, $A$564:$J$564, " ")</f>
        <v>0</v>
      </c>
      <c r="F160" s="872" cm="1">
        <f t="array" ref="F160">_xlfn.XLOOKUP(A160&amp;D160, $A$562:$J$562&amp;$A$563:$J$563, $A$565:$J$565, " ")</f>
        <v>0</v>
      </c>
      <c r="G160" s="510"/>
      <c r="H160" s="840"/>
      <c r="I160" s="510"/>
      <c r="J160" s="510"/>
      <c r="K160" s="511"/>
      <c r="L160" s="510"/>
      <c r="M160" s="580"/>
      <c r="N160" s="580"/>
      <c r="O160" s="580"/>
      <c r="P160" s="910"/>
      <c r="Q160" s="910"/>
      <c r="R160" s="910"/>
      <c r="S160" s="910"/>
      <c r="T160" s="910"/>
      <c r="U160" s="910"/>
      <c r="V160" s="910"/>
    </row>
    <row r="161" spans="1:22" x14ac:dyDescent="0.25">
      <c r="A161" s="772"/>
      <c r="B161" s="767" t="str">
        <f t="shared" si="4"/>
        <v xml:space="preserve"> </v>
      </c>
      <c r="C161" s="768" t="str">
        <f t="shared" si="5"/>
        <v xml:space="preserve"> </v>
      </c>
      <c r="D161" s="486"/>
      <c r="E161" s="308" cm="1">
        <f t="array" ref="E161">_xlfn.XLOOKUP(A161&amp;D161, $A$562:$J$562&amp;$A$563:$J$563, $A$564:$J$564, " ")</f>
        <v>0</v>
      </c>
      <c r="F161" s="872" cm="1">
        <f t="array" ref="F161">_xlfn.XLOOKUP(A161&amp;D161, $A$562:$J$562&amp;$A$563:$J$563, $A$565:$J$565, " ")</f>
        <v>0</v>
      </c>
      <c r="G161" s="510"/>
      <c r="H161" s="840"/>
      <c r="I161" s="510"/>
      <c r="J161" s="510"/>
      <c r="K161" s="511"/>
      <c r="L161" s="510"/>
      <c r="M161" s="580"/>
      <c r="N161" s="580"/>
      <c r="O161" s="580"/>
      <c r="P161" s="910"/>
      <c r="Q161" s="910"/>
      <c r="R161" s="910"/>
      <c r="S161" s="910"/>
      <c r="T161" s="910"/>
      <c r="U161" s="910"/>
      <c r="V161" s="910"/>
    </row>
    <row r="162" spans="1:22" x14ac:dyDescent="0.25">
      <c r="A162" s="772"/>
      <c r="B162" s="767" t="str">
        <f t="shared" si="4"/>
        <v xml:space="preserve"> </v>
      </c>
      <c r="C162" s="768" t="str">
        <f t="shared" si="5"/>
        <v xml:space="preserve"> </v>
      </c>
      <c r="D162" s="486"/>
      <c r="E162" s="308" cm="1">
        <f t="array" ref="E162">_xlfn.XLOOKUP(A162&amp;D162, $A$562:$J$562&amp;$A$563:$J$563, $A$564:$J$564, " ")</f>
        <v>0</v>
      </c>
      <c r="F162" s="872" cm="1">
        <f t="array" ref="F162">_xlfn.XLOOKUP(A162&amp;D162, $A$562:$J$562&amp;$A$563:$J$563, $A$565:$J$565, " ")</f>
        <v>0</v>
      </c>
      <c r="G162" s="510"/>
      <c r="H162" s="840"/>
      <c r="I162" s="510"/>
      <c r="J162" s="510"/>
      <c r="K162" s="511"/>
      <c r="L162" s="510"/>
      <c r="M162" s="580"/>
      <c r="N162" s="580"/>
      <c r="O162" s="580"/>
      <c r="P162" s="910"/>
      <c r="Q162" s="910"/>
      <c r="R162" s="910"/>
      <c r="S162" s="910"/>
      <c r="T162" s="910"/>
      <c r="U162" s="910"/>
      <c r="V162" s="910"/>
    </row>
    <row r="163" spans="1:22" x14ac:dyDescent="0.25">
      <c r="A163" s="772"/>
      <c r="B163" s="767" t="str">
        <f t="shared" si="4"/>
        <v xml:space="preserve"> </v>
      </c>
      <c r="C163" s="768" t="str">
        <f t="shared" si="5"/>
        <v xml:space="preserve"> </v>
      </c>
      <c r="D163" s="486"/>
      <c r="E163" s="308" cm="1">
        <f t="array" ref="E163">_xlfn.XLOOKUP(A163&amp;D163, $A$562:$J$562&amp;$A$563:$J$563, $A$564:$J$564, " ")</f>
        <v>0</v>
      </c>
      <c r="F163" s="872" cm="1">
        <f t="array" ref="F163">_xlfn.XLOOKUP(A163&amp;D163, $A$562:$J$562&amp;$A$563:$J$563, $A$565:$J$565, " ")</f>
        <v>0</v>
      </c>
      <c r="G163" s="510"/>
      <c r="H163" s="840"/>
      <c r="I163" s="510"/>
      <c r="J163" s="510"/>
      <c r="K163" s="511"/>
      <c r="L163" s="510"/>
      <c r="M163" s="580"/>
      <c r="N163" s="580"/>
      <c r="O163" s="580"/>
      <c r="P163" s="910"/>
      <c r="Q163" s="910"/>
      <c r="R163" s="910"/>
      <c r="S163" s="910"/>
      <c r="T163" s="910"/>
      <c r="U163" s="910"/>
      <c r="V163" s="910"/>
    </row>
    <row r="164" spans="1:22" x14ac:dyDescent="0.25">
      <c r="A164" s="772"/>
      <c r="B164" s="767" t="str">
        <f t="shared" si="4"/>
        <v xml:space="preserve"> </v>
      </c>
      <c r="C164" s="768" t="str">
        <f t="shared" si="5"/>
        <v xml:space="preserve"> </v>
      </c>
      <c r="D164" s="486"/>
      <c r="E164" s="308" cm="1">
        <f t="array" ref="E164">_xlfn.XLOOKUP(A164&amp;D164, $A$562:$J$562&amp;$A$563:$J$563, $A$564:$J$564, " ")</f>
        <v>0</v>
      </c>
      <c r="F164" s="872" cm="1">
        <f t="array" ref="F164">_xlfn.XLOOKUP(A164&amp;D164, $A$562:$J$562&amp;$A$563:$J$563, $A$565:$J$565, " ")</f>
        <v>0</v>
      </c>
      <c r="G164" s="510"/>
      <c r="H164" s="840"/>
      <c r="I164" s="510"/>
      <c r="J164" s="510"/>
      <c r="K164" s="511"/>
      <c r="L164" s="510"/>
      <c r="M164" s="580"/>
      <c r="N164" s="580"/>
      <c r="O164" s="580"/>
      <c r="P164" s="910"/>
      <c r="Q164" s="910"/>
      <c r="R164" s="910"/>
      <c r="S164" s="910"/>
      <c r="T164" s="910"/>
      <c r="U164" s="910"/>
      <c r="V164" s="910"/>
    </row>
    <row r="165" spans="1:22" x14ac:dyDescent="0.25">
      <c r="A165" s="772"/>
      <c r="B165" s="767" t="str">
        <f t="shared" si="4"/>
        <v xml:space="preserve"> </v>
      </c>
      <c r="C165" s="768" t="str">
        <f t="shared" si="5"/>
        <v xml:space="preserve"> </v>
      </c>
      <c r="D165" s="486"/>
      <c r="E165" s="308" cm="1">
        <f t="array" ref="E165">_xlfn.XLOOKUP(A165&amp;D165, $A$562:$J$562&amp;$A$563:$J$563, $A$564:$J$564, " ")</f>
        <v>0</v>
      </c>
      <c r="F165" s="872" cm="1">
        <f t="array" ref="F165">_xlfn.XLOOKUP(A165&amp;D165, $A$562:$J$562&amp;$A$563:$J$563, $A$565:$J$565, " ")</f>
        <v>0</v>
      </c>
      <c r="G165" s="510"/>
      <c r="H165" s="840"/>
      <c r="I165" s="510"/>
      <c r="J165" s="510"/>
      <c r="K165" s="511"/>
      <c r="L165" s="510"/>
      <c r="M165" s="580"/>
      <c r="N165" s="580"/>
      <c r="O165" s="580"/>
      <c r="P165" s="910"/>
      <c r="Q165" s="910"/>
      <c r="R165" s="910"/>
      <c r="S165" s="910"/>
      <c r="T165" s="910"/>
      <c r="U165" s="910"/>
      <c r="V165" s="910"/>
    </row>
    <row r="166" spans="1:22" x14ac:dyDescent="0.25">
      <c r="A166" s="772"/>
      <c r="B166" s="767" t="str">
        <f t="shared" si="4"/>
        <v xml:space="preserve"> </v>
      </c>
      <c r="C166" s="768" t="str">
        <f t="shared" si="5"/>
        <v xml:space="preserve"> </v>
      </c>
      <c r="D166" s="486"/>
      <c r="E166" s="308" cm="1">
        <f t="array" ref="E166">_xlfn.XLOOKUP(A166&amp;D166, $A$562:$J$562&amp;$A$563:$J$563, $A$564:$J$564, " ")</f>
        <v>0</v>
      </c>
      <c r="F166" s="872" cm="1">
        <f t="array" ref="F166">_xlfn.XLOOKUP(A166&amp;D166, $A$562:$J$562&amp;$A$563:$J$563, $A$565:$J$565, " ")</f>
        <v>0</v>
      </c>
      <c r="G166" s="510"/>
      <c r="H166" s="840"/>
      <c r="I166" s="510"/>
      <c r="J166" s="510"/>
      <c r="K166" s="511"/>
      <c r="L166" s="510"/>
      <c r="M166" s="580"/>
      <c r="N166" s="580"/>
      <c r="O166" s="580"/>
      <c r="P166" s="910"/>
      <c r="Q166" s="910"/>
      <c r="R166" s="910"/>
      <c r="S166" s="910"/>
      <c r="T166" s="910"/>
      <c r="U166" s="910"/>
      <c r="V166" s="910"/>
    </row>
    <row r="167" spans="1:22" x14ac:dyDescent="0.25">
      <c r="A167" s="772"/>
      <c r="B167" s="767" t="str">
        <f t="shared" si="4"/>
        <v xml:space="preserve"> </v>
      </c>
      <c r="C167" s="768" t="str">
        <f t="shared" si="5"/>
        <v xml:space="preserve"> </v>
      </c>
      <c r="D167" s="486"/>
      <c r="E167" s="308" cm="1">
        <f t="array" ref="E167">_xlfn.XLOOKUP(A167&amp;D167, $A$562:$J$562&amp;$A$563:$J$563, $A$564:$J$564, " ")</f>
        <v>0</v>
      </c>
      <c r="F167" s="872" cm="1">
        <f t="array" ref="F167">_xlfn.XLOOKUP(A167&amp;D167, $A$562:$J$562&amp;$A$563:$J$563, $A$565:$J$565, " ")</f>
        <v>0</v>
      </c>
      <c r="G167" s="510"/>
      <c r="H167" s="840"/>
      <c r="I167" s="510"/>
      <c r="J167" s="510"/>
      <c r="K167" s="511"/>
      <c r="L167" s="510"/>
      <c r="M167" s="580"/>
      <c r="N167" s="580"/>
      <c r="O167" s="580"/>
      <c r="P167" s="910"/>
      <c r="Q167" s="910"/>
      <c r="R167" s="910"/>
      <c r="S167" s="910"/>
      <c r="T167" s="910"/>
      <c r="U167" s="910"/>
      <c r="V167" s="910"/>
    </row>
    <row r="168" spans="1:22" x14ac:dyDescent="0.25">
      <c r="A168" s="772"/>
      <c r="B168" s="767" t="str">
        <f t="shared" si="4"/>
        <v xml:space="preserve"> </v>
      </c>
      <c r="C168" s="768" t="str">
        <f t="shared" si="5"/>
        <v xml:space="preserve"> </v>
      </c>
      <c r="D168" s="486"/>
      <c r="E168" s="308" cm="1">
        <f t="array" ref="E168">_xlfn.XLOOKUP(A168&amp;D168, $A$562:$J$562&amp;$A$563:$J$563, $A$564:$J$564, " ")</f>
        <v>0</v>
      </c>
      <c r="F168" s="872" cm="1">
        <f t="array" ref="F168">_xlfn.XLOOKUP(A168&amp;D168, $A$562:$J$562&amp;$A$563:$J$563, $A$565:$J$565, " ")</f>
        <v>0</v>
      </c>
      <c r="G168" s="510"/>
      <c r="H168" s="840"/>
      <c r="I168" s="510"/>
      <c r="J168" s="510"/>
      <c r="K168" s="511"/>
      <c r="L168" s="510"/>
      <c r="M168" s="580"/>
      <c r="N168" s="580"/>
      <c r="O168" s="580"/>
      <c r="P168" s="910"/>
      <c r="Q168" s="910"/>
      <c r="R168" s="910"/>
      <c r="S168" s="910"/>
      <c r="T168" s="910"/>
      <c r="U168" s="910"/>
      <c r="V168" s="910"/>
    </row>
    <row r="169" spans="1:22" x14ac:dyDescent="0.25">
      <c r="A169" s="772"/>
      <c r="B169" s="767" t="str">
        <f t="shared" si="4"/>
        <v xml:space="preserve"> </v>
      </c>
      <c r="C169" s="768" t="str">
        <f t="shared" si="5"/>
        <v xml:space="preserve"> </v>
      </c>
      <c r="D169" s="486"/>
      <c r="E169" s="308" cm="1">
        <f t="array" ref="E169">_xlfn.XLOOKUP(A169&amp;D169, $A$562:$J$562&amp;$A$563:$J$563, $A$564:$J$564, " ")</f>
        <v>0</v>
      </c>
      <c r="F169" s="872" cm="1">
        <f t="array" ref="F169">_xlfn.XLOOKUP(A169&amp;D169, $A$562:$J$562&amp;$A$563:$J$563, $A$565:$J$565, " ")</f>
        <v>0</v>
      </c>
      <c r="G169" s="510"/>
      <c r="H169" s="840"/>
      <c r="I169" s="510"/>
      <c r="J169" s="510"/>
      <c r="K169" s="511"/>
      <c r="L169" s="510"/>
      <c r="M169" s="580"/>
      <c r="N169" s="580"/>
      <c r="O169" s="580"/>
      <c r="P169" s="910"/>
      <c r="Q169" s="910"/>
      <c r="R169" s="910"/>
      <c r="S169" s="910"/>
      <c r="T169" s="910"/>
      <c r="U169" s="910"/>
      <c r="V169" s="910"/>
    </row>
    <row r="170" spans="1:22" x14ac:dyDescent="0.25">
      <c r="A170" s="772"/>
      <c r="B170" s="767" t="str">
        <f t="shared" si="4"/>
        <v xml:space="preserve"> </v>
      </c>
      <c r="C170" s="768" t="str">
        <f t="shared" si="5"/>
        <v xml:space="preserve"> </v>
      </c>
      <c r="D170" s="486"/>
      <c r="E170" s="308" cm="1">
        <f t="array" ref="E170">_xlfn.XLOOKUP(A170&amp;D170, $A$562:$J$562&amp;$A$563:$J$563, $A$564:$J$564, " ")</f>
        <v>0</v>
      </c>
      <c r="F170" s="872" cm="1">
        <f t="array" ref="F170">_xlfn.XLOOKUP(A170&amp;D170, $A$562:$J$562&amp;$A$563:$J$563, $A$565:$J$565, " ")</f>
        <v>0</v>
      </c>
      <c r="G170" s="510"/>
      <c r="H170" s="840"/>
      <c r="I170" s="510"/>
      <c r="J170" s="510"/>
      <c r="K170" s="511"/>
      <c r="L170" s="510"/>
      <c r="M170" s="580"/>
      <c r="N170" s="580"/>
      <c r="O170" s="580"/>
      <c r="P170" s="910"/>
      <c r="Q170" s="910"/>
      <c r="R170" s="910"/>
      <c r="S170" s="910"/>
      <c r="T170" s="910"/>
      <c r="U170" s="910"/>
      <c r="V170" s="910"/>
    </row>
    <row r="171" spans="1:22" x14ac:dyDescent="0.25">
      <c r="A171" s="772"/>
      <c r="B171" s="767" t="str">
        <f t="shared" si="4"/>
        <v xml:space="preserve"> </v>
      </c>
      <c r="C171" s="768" t="str">
        <f t="shared" si="5"/>
        <v xml:space="preserve"> </v>
      </c>
      <c r="D171" s="486"/>
      <c r="E171" s="308" cm="1">
        <f t="array" ref="E171">_xlfn.XLOOKUP(A171&amp;D171, $A$562:$J$562&amp;$A$563:$J$563, $A$564:$J$564, " ")</f>
        <v>0</v>
      </c>
      <c r="F171" s="872" cm="1">
        <f t="array" ref="F171">_xlfn.XLOOKUP(A171&amp;D171, $A$562:$J$562&amp;$A$563:$J$563, $A$565:$J$565, " ")</f>
        <v>0</v>
      </c>
      <c r="G171" s="510"/>
      <c r="H171" s="840"/>
      <c r="I171" s="510"/>
      <c r="J171" s="510"/>
      <c r="K171" s="511"/>
      <c r="L171" s="510"/>
      <c r="M171" s="580"/>
      <c r="N171" s="580"/>
      <c r="O171" s="580"/>
      <c r="P171" s="910"/>
      <c r="Q171" s="910"/>
      <c r="R171" s="910"/>
      <c r="S171" s="910"/>
      <c r="T171" s="910"/>
      <c r="U171" s="910"/>
      <c r="V171" s="910"/>
    </row>
    <row r="172" spans="1:22" x14ac:dyDescent="0.25">
      <c r="A172" s="772"/>
      <c r="B172" s="767" t="str">
        <f t="shared" si="4"/>
        <v xml:space="preserve"> </v>
      </c>
      <c r="C172" s="768" t="str">
        <f t="shared" si="5"/>
        <v xml:space="preserve"> </v>
      </c>
      <c r="D172" s="486"/>
      <c r="E172" s="308" cm="1">
        <f t="array" ref="E172">_xlfn.XLOOKUP(A172&amp;D172, $A$562:$J$562&amp;$A$563:$J$563, $A$564:$J$564, " ")</f>
        <v>0</v>
      </c>
      <c r="F172" s="872" cm="1">
        <f t="array" ref="F172">_xlfn.XLOOKUP(A172&amp;D172, $A$562:$J$562&amp;$A$563:$J$563, $A$565:$J$565, " ")</f>
        <v>0</v>
      </c>
      <c r="G172" s="510"/>
      <c r="H172" s="840"/>
      <c r="I172" s="510"/>
      <c r="J172" s="510"/>
      <c r="K172" s="511"/>
      <c r="L172" s="510"/>
      <c r="M172" s="580"/>
      <c r="N172" s="580"/>
      <c r="O172" s="580"/>
      <c r="P172" s="910"/>
      <c r="Q172" s="910"/>
      <c r="R172" s="910"/>
      <c r="S172" s="910"/>
      <c r="T172" s="910"/>
      <c r="U172" s="910"/>
      <c r="V172" s="910"/>
    </row>
    <row r="173" spans="1:22" x14ac:dyDescent="0.25">
      <c r="A173" s="772"/>
      <c r="B173" s="767" t="str">
        <f t="shared" si="4"/>
        <v xml:space="preserve"> </v>
      </c>
      <c r="C173" s="768" t="str">
        <f t="shared" si="5"/>
        <v xml:space="preserve"> </v>
      </c>
      <c r="D173" s="486"/>
      <c r="E173" s="308" cm="1">
        <f t="array" ref="E173">_xlfn.XLOOKUP(A173&amp;D173, $A$562:$J$562&amp;$A$563:$J$563, $A$564:$J$564, " ")</f>
        <v>0</v>
      </c>
      <c r="F173" s="872" cm="1">
        <f t="array" ref="F173">_xlfn.XLOOKUP(A173&amp;D173, $A$562:$J$562&amp;$A$563:$J$563, $A$565:$J$565, " ")</f>
        <v>0</v>
      </c>
      <c r="G173" s="510"/>
      <c r="H173" s="840"/>
      <c r="I173" s="510"/>
      <c r="J173" s="510"/>
      <c r="K173" s="511"/>
      <c r="L173" s="510"/>
      <c r="M173" s="580"/>
      <c r="N173" s="580"/>
      <c r="O173" s="580"/>
      <c r="P173" s="910"/>
      <c r="Q173" s="910"/>
      <c r="R173" s="910"/>
      <c r="S173" s="910"/>
      <c r="T173" s="910"/>
      <c r="U173" s="910"/>
      <c r="V173" s="910"/>
    </row>
    <row r="174" spans="1:22" x14ac:dyDescent="0.25">
      <c r="A174" s="772"/>
      <c r="B174" s="767" t="str">
        <f t="shared" si="4"/>
        <v xml:space="preserve"> </v>
      </c>
      <c r="C174" s="768" t="str">
        <f t="shared" si="5"/>
        <v xml:space="preserve"> </v>
      </c>
      <c r="D174" s="486"/>
      <c r="E174" s="308" cm="1">
        <f t="array" ref="E174">_xlfn.XLOOKUP(A174&amp;D174, $A$562:$J$562&amp;$A$563:$J$563, $A$564:$J$564, " ")</f>
        <v>0</v>
      </c>
      <c r="F174" s="872" cm="1">
        <f t="array" ref="F174">_xlfn.XLOOKUP(A174&amp;D174, $A$562:$J$562&amp;$A$563:$J$563, $A$565:$J$565, " ")</f>
        <v>0</v>
      </c>
      <c r="G174" s="510"/>
      <c r="H174" s="840"/>
      <c r="I174" s="510"/>
      <c r="J174" s="510"/>
      <c r="K174" s="511"/>
      <c r="L174" s="510"/>
      <c r="M174" s="580"/>
      <c r="N174" s="580"/>
      <c r="O174" s="580"/>
      <c r="P174" s="910"/>
      <c r="Q174" s="910"/>
      <c r="R174" s="910"/>
      <c r="S174" s="910"/>
      <c r="T174" s="910"/>
      <c r="U174" s="910"/>
      <c r="V174" s="910"/>
    </row>
    <row r="175" spans="1:22" x14ac:dyDescent="0.25">
      <c r="A175" s="772"/>
      <c r="B175" s="767" t="str">
        <f t="shared" si="4"/>
        <v xml:space="preserve"> </v>
      </c>
      <c r="C175" s="768" t="str">
        <f t="shared" si="5"/>
        <v xml:space="preserve"> </v>
      </c>
      <c r="D175" s="486"/>
      <c r="E175" s="308" cm="1">
        <f t="array" ref="E175">_xlfn.XLOOKUP(A175&amp;D175, $A$562:$J$562&amp;$A$563:$J$563, $A$564:$J$564, " ")</f>
        <v>0</v>
      </c>
      <c r="F175" s="872" cm="1">
        <f t="array" ref="F175">_xlfn.XLOOKUP(A175&amp;D175, $A$562:$J$562&amp;$A$563:$J$563, $A$565:$J$565, " ")</f>
        <v>0</v>
      </c>
      <c r="G175" s="510"/>
      <c r="H175" s="840"/>
      <c r="I175" s="510"/>
      <c r="J175" s="510"/>
      <c r="K175" s="511"/>
      <c r="L175" s="510"/>
      <c r="M175" s="580"/>
      <c r="N175" s="580"/>
      <c r="O175" s="580"/>
      <c r="P175" s="910"/>
      <c r="Q175" s="910"/>
      <c r="R175" s="910"/>
      <c r="S175" s="910"/>
      <c r="T175" s="910"/>
      <c r="U175" s="910"/>
      <c r="V175" s="910"/>
    </row>
    <row r="176" spans="1:22" x14ac:dyDescent="0.25">
      <c r="A176" s="772"/>
      <c r="B176" s="767" t="str">
        <f t="shared" si="4"/>
        <v xml:space="preserve"> </v>
      </c>
      <c r="C176" s="768" t="str">
        <f t="shared" si="5"/>
        <v xml:space="preserve"> </v>
      </c>
      <c r="D176" s="486"/>
      <c r="E176" s="308" cm="1">
        <f t="array" ref="E176">_xlfn.XLOOKUP(A176&amp;D176, $A$562:$J$562&amp;$A$563:$J$563, $A$564:$J$564, " ")</f>
        <v>0</v>
      </c>
      <c r="F176" s="872" cm="1">
        <f t="array" ref="F176">_xlfn.XLOOKUP(A176&amp;D176, $A$562:$J$562&amp;$A$563:$J$563, $A$565:$J$565, " ")</f>
        <v>0</v>
      </c>
      <c r="G176" s="510"/>
      <c r="H176" s="840"/>
      <c r="I176" s="510"/>
      <c r="J176" s="510"/>
      <c r="K176" s="511"/>
      <c r="L176" s="510"/>
      <c r="M176" s="580"/>
      <c r="N176" s="580"/>
      <c r="O176" s="580"/>
      <c r="P176" s="910"/>
      <c r="Q176" s="910"/>
      <c r="R176" s="910"/>
      <c r="S176" s="910"/>
      <c r="T176" s="910"/>
      <c r="U176" s="910"/>
      <c r="V176" s="910"/>
    </row>
    <row r="177" spans="1:22" x14ac:dyDescent="0.25">
      <c r="A177" s="772"/>
      <c r="B177" s="767" t="str">
        <f t="shared" si="4"/>
        <v xml:space="preserve"> </v>
      </c>
      <c r="C177" s="768" t="str">
        <f t="shared" si="5"/>
        <v xml:space="preserve"> </v>
      </c>
      <c r="D177" s="486"/>
      <c r="E177" s="308" cm="1">
        <f t="array" ref="E177">_xlfn.XLOOKUP(A177&amp;D177, $A$562:$J$562&amp;$A$563:$J$563, $A$564:$J$564, " ")</f>
        <v>0</v>
      </c>
      <c r="F177" s="872" cm="1">
        <f t="array" ref="F177">_xlfn.XLOOKUP(A177&amp;D177, $A$562:$J$562&amp;$A$563:$J$563, $A$565:$J$565, " ")</f>
        <v>0</v>
      </c>
      <c r="G177" s="510"/>
      <c r="H177" s="840"/>
      <c r="I177" s="510"/>
      <c r="J177" s="510"/>
      <c r="K177" s="511"/>
      <c r="L177" s="510"/>
      <c r="M177" s="580"/>
      <c r="N177" s="580"/>
      <c r="O177" s="580"/>
      <c r="P177" s="910"/>
      <c r="Q177" s="910"/>
      <c r="R177" s="910"/>
      <c r="S177" s="910"/>
      <c r="T177" s="910"/>
      <c r="U177" s="910"/>
      <c r="V177" s="910"/>
    </row>
    <row r="178" spans="1:22" x14ac:dyDescent="0.25">
      <c r="A178" s="772"/>
      <c r="B178" s="767" t="str">
        <f t="shared" si="4"/>
        <v xml:space="preserve"> </v>
      </c>
      <c r="C178" s="768" t="str">
        <f t="shared" si="5"/>
        <v xml:space="preserve"> </v>
      </c>
      <c r="D178" s="486"/>
      <c r="E178" s="308" cm="1">
        <f t="array" ref="E178">_xlfn.XLOOKUP(A178&amp;D178, $A$562:$J$562&amp;$A$563:$J$563, $A$564:$J$564, " ")</f>
        <v>0</v>
      </c>
      <c r="F178" s="872" cm="1">
        <f t="array" ref="F178">_xlfn.XLOOKUP(A178&amp;D178, $A$562:$J$562&amp;$A$563:$J$563, $A$565:$J$565, " ")</f>
        <v>0</v>
      </c>
      <c r="G178" s="510"/>
      <c r="H178" s="840"/>
      <c r="I178" s="510"/>
      <c r="J178" s="510"/>
      <c r="K178" s="511"/>
      <c r="L178" s="510"/>
      <c r="M178" s="580"/>
      <c r="N178" s="580"/>
      <c r="O178" s="580"/>
      <c r="P178" s="910"/>
      <c r="Q178" s="910"/>
      <c r="R178" s="910"/>
      <c r="S178" s="910"/>
      <c r="T178" s="910"/>
      <c r="U178" s="910"/>
      <c r="V178" s="910"/>
    </row>
    <row r="179" spans="1:22" x14ac:dyDescent="0.25">
      <c r="A179" s="772"/>
      <c r="B179" s="767" t="str">
        <f t="shared" si="4"/>
        <v xml:space="preserve"> </v>
      </c>
      <c r="C179" s="768" t="str">
        <f t="shared" si="5"/>
        <v xml:space="preserve"> </v>
      </c>
      <c r="D179" s="486"/>
      <c r="E179" s="308" cm="1">
        <f t="array" ref="E179">_xlfn.XLOOKUP(A179&amp;D179, $A$562:$J$562&amp;$A$563:$J$563, $A$564:$J$564, " ")</f>
        <v>0</v>
      </c>
      <c r="F179" s="872" cm="1">
        <f t="array" ref="F179">_xlfn.XLOOKUP(A179&amp;D179, $A$562:$J$562&amp;$A$563:$J$563, $A$565:$J$565, " ")</f>
        <v>0</v>
      </c>
      <c r="G179" s="510"/>
      <c r="H179" s="840"/>
      <c r="I179" s="510"/>
      <c r="J179" s="510"/>
      <c r="K179" s="511"/>
      <c r="L179" s="510"/>
      <c r="M179" s="580"/>
      <c r="N179" s="580"/>
      <c r="O179" s="580"/>
      <c r="P179" s="910"/>
      <c r="Q179" s="910"/>
      <c r="R179" s="910"/>
      <c r="S179" s="910"/>
      <c r="T179" s="910"/>
      <c r="U179" s="910"/>
      <c r="V179" s="910"/>
    </row>
    <row r="180" spans="1:22" x14ac:dyDescent="0.25">
      <c r="A180" s="772"/>
      <c r="B180" s="767" t="str">
        <f t="shared" si="4"/>
        <v xml:space="preserve"> </v>
      </c>
      <c r="C180" s="768" t="str">
        <f t="shared" si="5"/>
        <v xml:space="preserve"> </v>
      </c>
      <c r="D180" s="486"/>
      <c r="E180" s="308" cm="1">
        <f t="array" ref="E180">_xlfn.XLOOKUP(A180&amp;D180, $A$562:$J$562&amp;$A$563:$J$563, $A$564:$J$564, " ")</f>
        <v>0</v>
      </c>
      <c r="F180" s="872" cm="1">
        <f t="array" ref="F180">_xlfn.XLOOKUP(A180&amp;D180, $A$562:$J$562&amp;$A$563:$J$563, $A$565:$J$565, " ")</f>
        <v>0</v>
      </c>
      <c r="G180" s="510"/>
      <c r="H180" s="840"/>
      <c r="I180" s="510"/>
      <c r="J180" s="510"/>
      <c r="K180" s="511"/>
      <c r="L180" s="510"/>
      <c r="M180" s="580"/>
      <c r="N180" s="580"/>
      <c r="O180" s="580"/>
      <c r="P180" s="910"/>
      <c r="Q180" s="910"/>
      <c r="R180" s="910"/>
      <c r="S180" s="910"/>
      <c r="T180" s="910"/>
      <c r="U180" s="910"/>
      <c r="V180" s="910"/>
    </row>
    <row r="181" spans="1:22" x14ac:dyDescent="0.25">
      <c r="A181" s="772"/>
      <c r="B181" s="767" t="str">
        <f t="shared" si="4"/>
        <v xml:space="preserve"> </v>
      </c>
      <c r="C181" s="768" t="str">
        <f t="shared" si="5"/>
        <v xml:space="preserve"> </v>
      </c>
      <c r="D181" s="486"/>
      <c r="E181" s="308" cm="1">
        <f t="array" ref="E181">_xlfn.XLOOKUP(A181&amp;D181, $A$562:$J$562&amp;$A$563:$J$563, $A$564:$J$564, " ")</f>
        <v>0</v>
      </c>
      <c r="F181" s="872" cm="1">
        <f t="array" ref="F181">_xlfn.XLOOKUP(A181&amp;D181, $A$562:$J$562&amp;$A$563:$J$563, $A$565:$J$565, " ")</f>
        <v>0</v>
      </c>
      <c r="G181" s="510"/>
      <c r="H181" s="840"/>
      <c r="I181" s="510"/>
      <c r="J181" s="510"/>
      <c r="K181" s="511"/>
      <c r="L181" s="510"/>
      <c r="M181" s="580"/>
      <c r="N181" s="580"/>
      <c r="O181" s="580"/>
      <c r="P181" s="910"/>
      <c r="Q181" s="910"/>
      <c r="R181" s="910"/>
      <c r="S181" s="910"/>
      <c r="T181" s="910"/>
      <c r="U181" s="910"/>
      <c r="V181" s="910"/>
    </row>
    <row r="182" spans="1:22" x14ac:dyDescent="0.25">
      <c r="A182" s="772"/>
      <c r="B182" s="767" t="str">
        <f t="shared" si="4"/>
        <v xml:space="preserve"> </v>
      </c>
      <c r="C182" s="768" t="str">
        <f t="shared" si="5"/>
        <v xml:space="preserve"> </v>
      </c>
      <c r="D182" s="486"/>
      <c r="E182" s="308" cm="1">
        <f t="array" ref="E182">_xlfn.XLOOKUP(A182&amp;D182, $A$562:$J$562&amp;$A$563:$J$563, $A$564:$J$564, " ")</f>
        <v>0</v>
      </c>
      <c r="F182" s="872" cm="1">
        <f t="array" ref="F182">_xlfn.XLOOKUP(A182&amp;D182, $A$562:$J$562&amp;$A$563:$J$563, $A$565:$J$565, " ")</f>
        <v>0</v>
      </c>
      <c r="G182" s="510"/>
      <c r="H182" s="840"/>
      <c r="I182" s="510"/>
      <c r="J182" s="510"/>
      <c r="K182" s="511"/>
      <c r="L182" s="510"/>
      <c r="M182" s="580"/>
      <c r="N182" s="580"/>
      <c r="O182" s="580"/>
      <c r="P182" s="910"/>
      <c r="Q182" s="910"/>
      <c r="R182" s="910"/>
      <c r="S182" s="910"/>
      <c r="T182" s="910"/>
      <c r="U182" s="910"/>
      <c r="V182" s="910"/>
    </row>
    <row r="183" spans="1:22" x14ac:dyDescent="0.25">
      <c r="A183" s="772"/>
      <c r="B183" s="767" t="str">
        <f t="shared" si="4"/>
        <v xml:space="preserve"> </v>
      </c>
      <c r="C183" s="768" t="str">
        <f t="shared" si="5"/>
        <v xml:space="preserve"> </v>
      </c>
      <c r="D183" s="486"/>
      <c r="E183" s="308" cm="1">
        <f t="array" ref="E183">_xlfn.XLOOKUP(A183&amp;D183, $A$562:$J$562&amp;$A$563:$J$563, $A$564:$J$564, " ")</f>
        <v>0</v>
      </c>
      <c r="F183" s="872" cm="1">
        <f t="array" ref="F183">_xlfn.XLOOKUP(A183&amp;D183, $A$562:$J$562&amp;$A$563:$J$563, $A$565:$J$565, " ")</f>
        <v>0</v>
      </c>
      <c r="G183" s="510"/>
      <c r="H183" s="840"/>
      <c r="I183" s="510"/>
      <c r="J183" s="510"/>
      <c r="K183" s="511"/>
      <c r="L183" s="510"/>
      <c r="M183" s="580"/>
      <c r="N183" s="580"/>
      <c r="O183" s="580"/>
      <c r="P183" s="910"/>
      <c r="Q183" s="910"/>
      <c r="R183" s="910"/>
      <c r="S183" s="910"/>
      <c r="T183" s="910"/>
      <c r="U183" s="910"/>
      <c r="V183" s="910"/>
    </row>
    <row r="184" spans="1:22" x14ac:dyDescent="0.25">
      <c r="A184" s="772"/>
      <c r="B184" s="767" t="str">
        <f t="shared" si="4"/>
        <v xml:space="preserve"> </v>
      </c>
      <c r="C184" s="768" t="str">
        <f t="shared" si="5"/>
        <v xml:space="preserve"> </v>
      </c>
      <c r="D184" s="486"/>
      <c r="E184" s="308" cm="1">
        <f t="array" ref="E184">_xlfn.XLOOKUP(A184&amp;D184, $A$562:$J$562&amp;$A$563:$J$563, $A$564:$J$564, " ")</f>
        <v>0</v>
      </c>
      <c r="F184" s="872" cm="1">
        <f t="array" ref="F184">_xlfn.XLOOKUP(A184&amp;D184, $A$562:$J$562&amp;$A$563:$J$563, $A$565:$J$565, " ")</f>
        <v>0</v>
      </c>
      <c r="G184" s="510"/>
      <c r="H184" s="840"/>
      <c r="I184" s="510"/>
      <c r="J184" s="510"/>
      <c r="K184" s="511"/>
      <c r="L184" s="510"/>
      <c r="M184" s="580"/>
      <c r="N184" s="580"/>
      <c r="O184" s="580"/>
      <c r="P184" s="910"/>
      <c r="Q184" s="910"/>
      <c r="R184" s="910"/>
      <c r="S184" s="910"/>
      <c r="T184" s="910"/>
      <c r="U184" s="910"/>
      <c r="V184" s="910"/>
    </row>
    <row r="185" spans="1:22" x14ac:dyDescent="0.25">
      <c r="A185" s="772"/>
      <c r="B185" s="767" t="str">
        <f t="shared" si="4"/>
        <v xml:space="preserve"> </v>
      </c>
      <c r="C185" s="768" t="str">
        <f t="shared" si="5"/>
        <v xml:space="preserve"> </v>
      </c>
      <c r="D185" s="486"/>
      <c r="E185" s="308" cm="1">
        <f t="array" ref="E185">_xlfn.XLOOKUP(A185&amp;D185, $A$562:$J$562&amp;$A$563:$J$563, $A$564:$J$564, " ")</f>
        <v>0</v>
      </c>
      <c r="F185" s="872" cm="1">
        <f t="array" ref="F185">_xlfn.XLOOKUP(A185&amp;D185, $A$562:$J$562&amp;$A$563:$J$563, $A$565:$J$565, " ")</f>
        <v>0</v>
      </c>
      <c r="G185" s="510"/>
      <c r="H185" s="840"/>
      <c r="I185" s="510"/>
      <c r="J185" s="510"/>
      <c r="K185" s="511"/>
      <c r="L185" s="510"/>
      <c r="M185" s="580"/>
      <c r="N185" s="580"/>
      <c r="O185" s="580"/>
      <c r="P185" s="910"/>
      <c r="Q185" s="910"/>
      <c r="R185" s="910"/>
      <c r="S185" s="910"/>
      <c r="T185" s="910"/>
      <c r="U185" s="910"/>
      <c r="V185" s="910"/>
    </row>
    <row r="186" spans="1:22" x14ac:dyDescent="0.25">
      <c r="A186" s="772"/>
      <c r="B186" s="767" t="str">
        <f t="shared" si="4"/>
        <v xml:space="preserve"> </v>
      </c>
      <c r="C186" s="768" t="str">
        <f t="shared" si="5"/>
        <v xml:space="preserve"> </v>
      </c>
      <c r="D186" s="486"/>
      <c r="E186" s="308" cm="1">
        <f t="array" ref="E186">_xlfn.XLOOKUP(A186&amp;D186, $A$562:$J$562&amp;$A$563:$J$563, $A$564:$J$564, " ")</f>
        <v>0</v>
      </c>
      <c r="F186" s="872" cm="1">
        <f t="array" ref="F186">_xlfn.XLOOKUP(A186&amp;D186, $A$562:$J$562&amp;$A$563:$J$563, $A$565:$J$565, " ")</f>
        <v>0</v>
      </c>
      <c r="G186" s="510"/>
      <c r="H186" s="840"/>
      <c r="I186" s="510"/>
      <c r="J186" s="510"/>
      <c r="K186" s="511"/>
      <c r="L186" s="510"/>
      <c r="M186" s="580"/>
      <c r="N186" s="580"/>
      <c r="O186" s="580"/>
      <c r="P186" s="910"/>
      <c r="Q186" s="910"/>
      <c r="R186" s="910"/>
      <c r="S186" s="910"/>
      <c r="T186" s="910"/>
      <c r="U186" s="910"/>
      <c r="V186" s="910"/>
    </row>
    <row r="187" spans="1:22" x14ac:dyDescent="0.25">
      <c r="A187" s="772"/>
      <c r="B187" s="767" t="str">
        <f t="shared" si="4"/>
        <v xml:space="preserve"> </v>
      </c>
      <c r="C187" s="768" t="str">
        <f t="shared" si="5"/>
        <v xml:space="preserve"> </v>
      </c>
      <c r="D187" s="486"/>
      <c r="E187" s="308" cm="1">
        <f t="array" ref="E187">_xlfn.XLOOKUP(A187&amp;D187, $A$562:$J$562&amp;$A$563:$J$563, $A$564:$J$564, " ")</f>
        <v>0</v>
      </c>
      <c r="F187" s="872" cm="1">
        <f t="array" ref="F187">_xlfn.XLOOKUP(A187&amp;D187, $A$562:$J$562&amp;$A$563:$J$563, $A$565:$J$565, " ")</f>
        <v>0</v>
      </c>
      <c r="G187" s="510"/>
      <c r="H187" s="840"/>
      <c r="I187" s="510"/>
      <c r="J187" s="510"/>
      <c r="K187" s="511"/>
      <c r="L187" s="510"/>
      <c r="M187" s="580"/>
      <c r="N187" s="580"/>
      <c r="O187" s="580"/>
      <c r="P187" s="910"/>
      <c r="Q187" s="910"/>
      <c r="R187" s="910"/>
      <c r="S187" s="910"/>
      <c r="T187" s="910"/>
      <c r="U187" s="910"/>
      <c r="V187" s="910"/>
    </row>
    <row r="188" spans="1:22" x14ac:dyDescent="0.25">
      <c r="A188" s="772"/>
      <c r="B188" s="767" t="str">
        <f t="shared" si="4"/>
        <v xml:space="preserve"> </v>
      </c>
      <c r="C188" s="768" t="str">
        <f t="shared" si="5"/>
        <v xml:space="preserve"> </v>
      </c>
      <c r="D188" s="486"/>
      <c r="E188" s="308" cm="1">
        <f t="array" ref="E188">_xlfn.XLOOKUP(A188&amp;D188, $A$562:$J$562&amp;$A$563:$J$563, $A$564:$J$564, " ")</f>
        <v>0</v>
      </c>
      <c r="F188" s="872" cm="1">
        <f t="array" ref="F188">_xlfn.XLOOKUP(A188&amp;D188, $A$562:$J$562&amp;$A$563:$J$563, $A$565:$J$565, " ")</f>
        <v>0</v>
      </c>
      <c r="G188" s="510"/>
      <c r="H188" s="840"/>
      <c r="I188" s="510"/>
      <c r="J188" s="510"/>
      <c r="K188" s="511"/>
      <c r="L188" s="510"/>
      <c r="M188" s="580"/>
      <c r="N188" s="580"/>
      <c r="O188" s="580"/>
      <c r="P188" s="910"/>
      <c r="Q188" s="910"/>
      <c r="R188" s="910"/>
      <c r="S188" s="910"/>
      <c r="T188" s="910"/>
      <c r="U188" s="910"/>
      <c r="V188" s="910"/>
    </row>
    <row r="189" spans="1:22" x14ac:dyDescent="0.25">
      <c r="A189" s="772"/>
      <c r="B189" s="767" t="str">
        <f t="shared" si="4"/>
        <v xml:space="preserve"> </v>
      </c>
      <c r="C189" s="768" t="str">
        <f t="shared" si="5"/>
        <v xml:space="preserve"> </v>
      </c>
      <c r="D189" s="486"/>
      <c r="E189" s="308" cm="1">
        <f t="array" ref="E189">_xlfn.XLOOKUP(A189&amp;D189, $A$562:$J$562&amp;$A$563:$J$563, $A$564:$J$564, " ")</f>
        <v>0</v>
      </c>
      <c r="F189" s="872" cm="1">
        <f t="array" ref="F189">_xlfn.XLOOKUP(A189&amp;D189, $A$562:$J$562&amp;$A$563:$J$563, $A$565:$J$565, " ")</f>
        <v>0</v>
      </c>
      <c r="G189" s="510"/>
      <c r="H189" s="840"/>
      <c r="I189" s="510"/>
      <c r="J189" s="510"/>
      <c r="K189" s="511"/>
      <c r="L189" s="510"/>
      <c r="M189" s="580"/>
      <c r="N189" s="580"/>
      <c r="O189" s="580"/>
      <c r="P189" s="910"/>
      <c r="Q189" s="910"/>
      <c r="R189" s="910"/>
      <c r="S189" s="910"/>
      <c r="T189" s="910"/>
      <c r="U189" s="910"/>
      <c r="V189" s="910"/>
    </row>
    <row r="190" spans="1:22" x14ac:dyDescent="0.25">
      <c r="A190" s="772"/>
      <c r="B190" s="767" t="str">
        <f t="shared" si="4"/>
        <v xml:space="preserve"> </v>
      </c>
      <c r="C190" s="768" t="str">
        <f t="shared" si="5"/>
        <v xml:space="preserve"> </v>
      </c>
      <c r="D190" s="486"/>
      <c r="E190" s="308" cm="1">
        <f t="array" ref="E190">_xlfn.XLOOKUP(A190&amp;D190, $A$562:$J$562&amp;$A$563:$J$563, $A$564:$J$564, " ")</f>
        <v>0</v>
      </c>
      <c r="F190" s="872" cm="1">
        <f t="array" ref="F190">_xlfn.XLOOKUP(A190&amp;D190, $A$562:$J$562&amp;$A$563:$J$563, $A$565:$J$565, " ")</f>
        <v>0</v>
      </c>
      <c r="G190" s="510"/>
      <c r="H190" s="840"/>
      <c r="I190" s="510"/>
      <c r="J190" s="510"/>
      <c r="K190" s="511"/>
      <c r="L190" s="510"/>
      <c r="M190" s="580"/>
      <c r="N190" s="580"/>
      <c r="O190" s="580"/>
      <c r="P190" s="910"/>
      <c r="Q190" s="910"/>
      <c r="R190" s="910"/>
      <c r="S190" s="910"/>
      <c r="T190" s="910"/>
      <c r="U190" s="910"/>
      <c r="V190" s="910"/>
    </row>
    <row r="191" spans="1:22" x14ac:dyDescent="0.25">
      <c r="A191" s="772"/>
      <c r="B191" s="767" t="str">
        <f t="shared" si="4"/>
        <v xml:space="preserve"> </v>
      </c>
      <c r="C191" s="768" t="str">
        <f t="shared" si="5"/>
        <v xml:space="preserve"> </v>
      </c>
      <c r="D191" s="486"/>
      <c r="E191" s="308" cm="1">
        <f t="array" ref="E191">_xlfn.XLOOKUP(A191&amp;D191, $A$562:$J$562&amp;$A$563:$J$563, $A$564:$J$564, " ")</f>
        <v>0</v>
      </c>
      <c r="F191" s="872" cm="1">
        <f t="array" ref="F191">_xlfn.XLOOKUP(A191&amp;D191, $A$562:$J$562&amp;$A$563:$J$563, $A$565:$J$565, " ")</f>
        <v>0</v>
      </c>
      <c r="G191" s="510"/>
      <c r="H191" s="840"/>
      <c r="I191" s="510"/>
      <c r="J191" s="510"/>
      <c r="K191" s="511"/>
      <c r="L191" s="510"/>
      <c r="M191" s="580"/>
      <c r="N191" s="580"/>
      <c r="O191" s="580"/>
      <c r="P191" s="910"/>
      <c r="Q191" s="910"/>
      <c r="R191" s="910"/>
      <c r="S191" s="910"/>
      <c r="T191" s="910"/>
      <c r="U191" s="910"/>
      <c r="V191" s="910"/>
    </row>
    <row r="192" spans="1:22" x14ac:dyDescent="0.25">
      <c r="A192" s="772"/>
      <c r="B192" s="767" t="str">
        <f t="shared" si="4"/>
        <v xml:space="preserve"> </v>
      </c>
      <c r="C192" s="768" t="str">
        <f t="shared" si="5"/>
        <v xml:space="preserve"> </v>
      </c>
      <c r="D192" s="486"/>
      <c r="E192" s="308" cm="1">
        <f t="array" ref="E192">_xlfn.XLOOKUP(A192&amp;D192, $A$562:$J$562&amp;$A$563:$J$563, $A$564:$J$564, " ")</f>
        <v>0</v>
      </c>
      <c r="F192" s="872" cm="1">
        <f t="array" ref="F192">_xlfn.XLOOKUP(A192&amp;D192, $A$562:$J$562&amp;$A$563:$J$563, $A$565:$J$565, " ")</f>
        <v>0</v>
      </c>
      <c r="G192" s="510"/>
      <c r="H192" s="840"/>
      <c r="I192" s="510"/>
      <c r="J192" s="510"/>
      <c r="K192" s="511"/>
      <c r="L192" s="510"/>
      <c r="M192" s="580"/>
      <c r="N192" s="580"/>
      <c r="O192" s="580"/>
      <c r="P192" s="910"/>
      <c r="Q192" s="910"/>
      <c r="R192" s="910"/>
      <c r="S192" s="910"/>
      <c r="T192" s="910"/>
      <c r="U192" s="910"/>
      <c r="V192" s="910"/>
    </row>
    <row r="193" spans="1:22" x14ac:dyDescent="0.25">
      <c r="A193" s="772"/>
      <c r="B193" s="767" t="str">
        <f t="shared" si="4"/>
        <v xml:space="preserve"> </v>
      </c>
      <c r="C193" s="768" t="str">
        <f t="shared" si="5"/>
        <v xml:space="preserve"> </v>
      </c>
      <c r="D193" s="486"/>
      <c r="E193" s="308" cm="1">
        <f t="array" ref="E193">_xlfn.XLOOKUP(A193&amp;D193, $A$562:$J$562&amp;$A$563:$J$563, $A$564:$J$564, " ")</f>
        <v>0</v>
      </c>
      <c r="F193" s="872" cm="1">
        <f t="array" ref="F193">_xlfn.XLOOKUP(A193&amp;D193, $A$562:$J$562&amp;$A$563:$J$563, $A$565:$J$565, " ")</f>
        <v>0</v>
      </c>
      <c r="G193" s="510"/>
      <c r="H193" s="840"/>
      <c r="I193" s="510"/>
      <c r="J193" s="510"/>
      <c r="K193" s="511"/>
      <c r="L193" s="510"/>
      <c r="M193" s="580"/>
      <c r="N193" s="580"/>
      <c r="O193" s="580"/>
      <c r="P193" s="910"/>
      <c r="Q193" s="910"/>
      <c r="R193" s="910"/>
      <c r="S193" s="910"/>
      <c r="T193" s="910"/>
      <c r="U193" s="910"/>
      <c r="V193" s="910"/>
    </row>
    <row r="194" spans="1:22" x14ac:dyDescent="0.25">
      <c r="A194" s="772"/>
      <c r="B194" s="767" t="str">
        <f t="shared" si="4"/>
        <v xml:space="preserve"> </v>
      </c>
      <c r="C194" s="768" t="str">
        <f t="shared" si="5"/>
        <v xml:space="preserve"> </v>
      </c>
      <c r="D194" s="486"/>
      <c r="E194" s="308" cm="1">
        <f t="array" ref="E194">_xlfn.XLOOKUP(A194&amp;D194, $A$562:$J$562&amp;$A$563:$J$563, $A$564:$J$564, " ")</f>
        <v>0</v>
      </c>
      <c r="F194" s="872" cm="1">
        <f t="array" ref="F194">_xlfn.XLOOKUP(A194&amp;D194, $A$562:$J$562&amp;$A$563:$J$563, $A$565:$J$565, " ")</f>
        <v>0</v>
      </c>
      <c r="G194" s="510"/>
      <c r="H194" s="840"/>
      <c r="I194" s="510"/>
      <c r="J194" s="510"/>
      <c r="K194" s="511"/>
      <c r="L194" s="510"/>
      <c r="M194" s="580"/>
      <c r="N194" s="580"/>
      <c r="O194" s="580"/>
      <c r="P194" s="910"/>
      <c r="Q194" s="910"/>
      <c r="R194" s="910"/>
      <c r="S194" s="910"/>
      <c r="T194" s="910"/>
      <c r="U194" s="910"/>
      <c r="V194" s="910"/>
    </row>
    <row r="195" spans="1:22" x14ac:dyDescent="0.25">
      <c r="A195" s="772"/>
      <c r="B195" s="767" t="str">
        <f t="shared" si="4"/>
        <v xml:space="preserve"> </v>
      </c>
      <c r="C195" s="768" t="str">
        <f t="shared" si="5"/>
        <v xml:space="preserve"> </v>
      </c>
      <c r="D195" s="486"/>
      <c r="E195" s="308" cm="1">
        <f t="array" ref="E195">_xlfn.XLOOKUP(A195&amp;D195, $A$562:$J$562&amp;$A$563:$J$563, $A$564:$J$564, " ")</f>
        <v>0</v>
      </c>
      <c r="F195" s="872" cm="1">
        <f t="array" ref="F195">_xlfn.XLOOKUP(A195&amp;D195, $A$562:$J$562&amp;$A$563:$J$563, $A$565:$J$565, " ")</f>
        <v>0</v>
      </c>
      <c r="G195" s="510"/>
      <c r="H195" s="840"/>
      <c r="I195" s="510"/>
      <c r="J195" s="510"/>
      <c r="K195" s="511"/>
      <c r="L195" s="510"/>
      <c r="M195" s="580"/>
      <c r="N195" s="580"/>
      <c r="O195" s="580"/>
      <c r="P195" s="910"/>
      <c r="Q195" s="910"/>
      <c r="R195" s="910"/>
      <c r="S195" s="910"/>
      <c r="T195" s="910"/>
      <c r="U195" s="910"/>
      <c r="V195" s="910"/>
    </row>
    <row r="196" spans="1:22" x14ac:dyDescent="0.25">
      <c r="A196" s="772"/>
      <c r="B196" s="767" t="str">
        <f t="shared" si="4"/>
        <v xml:space="preserve"> </v>
      </c>
      <c r="C196" s="768" t="str">
        <f t="shared" si="5"/>
        <v xml:space="preserve"> </v>
      </c>
      <c r="D196" s="486"/>
      <c r="E196" s="308" cm="1">
        <f t="array" ref="E196">_xlfn.XLOOKUP(A196&amp;D196, $A$562:$J$562&amp;$A$563:$J$563, $A$564:$J$564, " ")</f>
        <v>0</v>
      </c>
      <c r="F196" s="872" cm="1">
        <f t="array" ref="F196">_xlfn.XLOOKUP(A196&amp;D196, $A$562:$J$562&amp;$A$563:$J$563, $A$565:$J$565, " ")</f>
        <v>0</v>
      </c>
      <c r="G196" s="510"/>
      <c r="H196" s="840"/>
      <c r="I196" s="510"/>
      <c r="J196" s="510"/>
      <c r="K196" s="511"/>
      <c r="L196" s="510"/>
      <c r="M196" s="580"/>
      <c r="N196" s="580"/>
      <c r="O196" s="580"/>
      <c r="P196" s="910"/>
      <c r="Q196" s="910"/>
      <c r="R196" s="910"/>
      <c r="S196" s="910"/>
      <c r="T196" s="910"/>
      <c r="U196" s="910"/>
      <c r="V196" s="910"/>
    </row>
    <row r="197" spans="1:22" x14ac:dyDescent="0.25">
      <c r="A197" s="772"/>
      <c r="B197" s="767" t="str">
        <f t="shared" si="4"/>
        <v xml:space="preserve"> </v>
      </c>
      <c r="C197" s="768" t="str">
        <f t="shared" si="5"/>
        <v xml:space="preserve"> </v>
      </c>
      <c r="D197" s="486"/>
      <c r="E197" s="308" cm="1">
        <f t="array" ref="E197">_xlfn.XLOOKUP(A197&amp;D197, $A$562:$J$562&amp;$A$563:$J$563, $A$564:$J$564, " ")</f>
        <v>0</v>
      </c>
      <c r="F197" s="872" cm="1">
        <f t="array" ref="F197">_xlfn.XLOOKUP(A197&amp;D197, $A$562:$J$562&amp;$A$563:$J$563, $A$565:$J$565, " ")</f>
        <v>0</v>
      </c>
      <c r="G197" s="510"/>
      <c r="H197" s="840"/>
      <c r="I197" s="510"/>
      <c r="J197" s="510"/>
      <c r="K197" s="511"/>
      <c r="L197" s="510"/>
      <c r="M197" s="580"/>
      <c r="N197" s="580"/>
      <c r="O197" s="580"/>
      <c r="P197" s="910"/>
      <c r="Q197" s="910"/>
      <c r="R197" s="910"/>
      <c r="S197" s="910"/>
      <c r="T197" s="910"/>
      <c r="U197" s="910"/>
      <c r="V197" s="910"/>
    </row>
    <row r="198" spans="1:22" x14ac:dyDescent="0.25">
      <c r="A198" s="772"/>
      <c r="B198" s="767" t="str">
        <f t="shared" si="4"/>
        <v xml:space="preserve"> </v>
      </c>
      <c r="C198" s="768" t="str">
        <f t="shared" si="5"/>
        <v xml:space="preserve"> </v>
      </c>
      <c r="D198" s="486"/>
      <c r="E198" s="308" cm="1">
        <f t="array" ref="E198">_xlfn.XLOOKUP(A198&amp;D198, $A$562:$J$562&amp;$A$563:$J$563, $A$564:$J$564, " ")</f>
        <v>0</v>
      </c>
      <c r="F198" s="872" cm="1">
        <f t="array" ref="F198">_xlfn.XLOOKUP(A198&amp;D198, $A$562:$J$562&amp;$A$563:$J$563, $A$565:$J$565, " ")</f>
        <v>0</v>
      </c>
      <c r="G198" s="510"/>
      <c r="H198" s="840"/>
      <c r="I198" s="510"/>
      <c r="J198" s="510"/>
      <c r="K198" s="511"/>
      <c r="L198" s="510"/>
      <c r="M198" s="580"/>
      <c r="N198" s="580"/>
      <c r="O198" s="580"/>
      <c r="P198" s="910"/>
      <c r="Q198" s="910"/>
      <c r="R198" s="910"/>
      <c r="S198" s="910"/>
      <c r="T198" s="910"/>
      <c r="U198" s="910"/>
      <c r="V198" s="910"/>
    </row>
    <row r="199" spans="1:22" x14ac:dyDescent="0.25">
      <c r="A199" s="772"/>
      <c r="B199" s="767" t="str">
        <f t="shared" si="4"/>
        <v xml:space="preserve"> </v>
      </c>
      <c r="C199" s="768" t="str">
        <f t="shared" si="5"/>
        <v xml:space="preserve"> </v>
      </c>
      <c r="D199" s="486"/>
      <c r="E199" s="308" cm="1">
        <f t="array" ref="E199">_xlfn.XLOOKUP(A199&amp;D199, $A$562:$J$562&amp;$A$563:$J$563, $A$564:$J$564, " ")</f>
        <v>0</v>
      </c>
      <c r="F199" s="872" cm="1">
        <f t="array" ref="F199">_xlfn.XLOOKUP(A199&amp;D199, $A$562:$J$562&amp;$A$563:$J$563, $A$565:$J$565, " ")</f>
        <v>0</v>
      </c>
      <c r="G199" s="510"/>
      <c r="H199" s="840"/>
      <c r="I199" s="510"/>
      <c r="J199" s="510"/>
      <c r="K199" s="511"/>
      <c r="L199" s="510"/>
      <c r="M199" s="580"/>
      <c r="N199" s="580"/>
      <c r="O199" s="580"/>
      <c r="P199" s="910"/>
      <c r="Q199" s="910"/>
      <c r="R199" s="910"/>
      <c r="S199" s="910"/>
      <c r="T199" s="910"/>
      <c r="U199" s="910"/>
      <c r="V199" s="910"/>
    </row>
    <row r="200" spans="1:22" x14ac:dyDescent="0.25">
      <c r="A200" s="772"/>
      <c r="B200" s="767" t="str">
        <f t="shared" si="4"/>
        <v xml:space="preserve"> </v>
      </c>
      <c r="C200" s="768" t="str">
        <f t="shared" si="5"/>
        <v xml:space="preserve"> </v>
      </c>
      <c r="D200" s="486"/>
      <c r="E200" s="308" cm="1">
        <f t="array" ref="E200">_xlfn.XLOOKUP(A200&amp;D200, $A$562:$J$562&amp;$A$563:$J$563, $A$564:$J$564, " ")</f>
        <v>0</v>
      </c>
      <c r="F200" s="872" cm="1">
        <f t="array" ref="F200">_xlfn.XLOOKUP(A200&amp;D200, $A$562:$J$562&amp;$A$563:$J$563, $A$565:$J$565, " ")</f>
        <v>0</v>
      </c>
      <c r="G200" s="510"/>
      <c r="H200" s="840"/>
      <c r="I200" s="510"/>
      <c r="J200" s="510"/>
      <c r="K200" s="511"/>
      <c r="L200" s="510"/>
      <c r="M200" s="580"/>
      <c r="N200" s="580"/>
      <c r="O200" s="580"/>
      <c r="P200" s="910"/>
      <c r="Q200" s="910"/>
      <c r="R200" s="910"/>
      <c r="S200" s="910"/>
      <c r="T200" s="910"/>
      <c r="U200" s="910"/>
      <c r="V200" s="910"/>
    </row>
    <row r="201" spans="1:22" x14ac:dyDescent="0.25">
      <c r="A201" s="772"/>
      <c r="B201" s="767" t="str">
        <f t="shared" si="4"/>
        <v xml:space="preserve"> </v>
      </c>
      <c r="C201" s="768" t="str">
        <f t="shared" si="5"/>
        <v xml:space="preserve"> </v>
      </c>
      <c r="D201" s="486"/>
      <c r="E201" s="308" cm="1">
        <f t="array" ref="E201">_xlfn.XLOOKUP(A201&amp;D201, $A$562:$J$562&amp;$A$563:$J$563, $A$564:$J$564, " ")</f>
        <v>0</v>
      </c>
      <c r="F201" s="872" cm="1">
        <f t="array" ref="F201">_xlfn.XLOOKUP(A201&amp;D201, $A$562:$J$562&amp;$A$563:$J$563, $A$565:$J$565, " ")</f>
        <v>0</v>
      </c>
      <c r="G201" s="510"/>
      <c r="H201" s="840"/>
      <c r="I201" s="510"/>
      <c r="J201" s="510"/>
      <c r="K201" s="511"/>
      <c r="L201" s="510"/>
      <c r="M201" s="580"/>
      <c r="N201" s="580"/>
      <c r="O201" s="580"/>
      <c r="P201" s="910"/>
      <c r="Q201" s="910"/>
      <c r="R201" s="910"/>
      <c r="S201" s="910"/>
      <c r="T201" s="910"/>
      <c r="U201" s="910"/>
      <c r="V201" s="910"/>
    </row>
    <row r="202" spans="1:22" x14ac:dyDescent="0.25">
      <c r="A202" s="772"/>
      <c r="B202" s="767" t="str">
        <f t="shared" si="4"/>
        <v xml:space="preserve"> </v>
      </c>
      <c r="C202" s="768" t="str">
        <f t="shared" si="5"/>
        <v xml:space="preserve"> </v>
      </c>
      <c r="D202" s="486"/>
      <c r="E202" s="308" cm="1">
        <f t="array" ref="E202">_xlfn.XLOOKUP(A202&amp;D202, $A$562:$J$562&amp;$A$563:$J$563, $A$564:$J$564, " ")</f>
        <v>0</v>
      </c>
      <c r="F202" s="872" cm="1">
        <f t="array" ref="F202">_xlfn.XLOOKUP(A202&amp;D202, $A$562:$J$562&amp;$A$563:$J$563, $A$565:$J$565, " ")</f>
        <v>0</v>
      </c>
      <c r="G202" s="510"/>
      <c r="H202" s="840"/>
      <c r="I202" s="510"/>
      <c r="J202" s="510"/>
      <c r="K202" s="511"/>
      <c r="L202" s="510"/>
      <c r="M202" s="580"/>
      <c r="N202" s="580"/>
      <c r="O202" s="580"/>
      <c r="P202" s="910"/>
      <c r="Q202" s="910"/>
      <c r="R202" s="910"/>
      <c r="S202" s="910"/>
      <c r="T202" s="910"/>
      <c r="U202" s="910"/>
      <c r="V202" s="910"/>
    </row>
    <row r="203" spans="1:22" x14ac:dyDescent="0.25">
      <c r="A203" s="772"/>
      <c r="B203" s="767" t="str">
        <f t="shared" ref="B203:B266" si="6">IF(ISBLANK(A203), " ", _xlfn.XLOOKUP(A203,$A$552:$C$552,$A$553:$C$553))</f>
        <v xml:space="preserve"> </v>
      </c>
      <c r="C203" s="768" t="str">
        <f t="shared" ref="C203:C266" si="7">IF(ISBLANK(A203), " ", _xlfn.XLOOKUP(A203,$A$552:$C$552,$A$554:$C$554))</f>
        <v xml:space="preserve"> </v>
      </c>
      <c r="D203" s="486"/>
      <c r="E203" s="308" cm="1">
        <f t="array" ref="E203">_xlfn.XLOOKUP(A203&amp;D203, $A$562:$J$562&amp;$A$563:$J$563, $A$564:$J$564, " ")</f>
        <v>0</v>
      </c>
      <c r="F203" s="872" cm="1">
        <f t="array" ref="F203">_xlfn.XLOOKUP(A203&amp;D203, $A$562:$J$562&amp;$A$563:$J$563, $A$565:$J$565, " ")</f>
        <v>0</v>
      </c>
      <c r="G203" s="510"/>
      <c r="H203" s="840"/>
      <c r="I203" s="510"/>
      <c r="J203" s="510"/>
      <c r="K203" s="511"/>
      <c r="L203" s="510"/>
      <c r="M203" s="580"/>
      <c r="N203" s="580"/>
      <c r="O203" s="580"/>
      <c r="P203" s="910"/>
      <c r="Q203" s="910"/>
      <c r="R203" s="910"/>
      <c r="S203" s="910"/>
      <c r="T203" s="910"/>
      <c r="U203" s="910"/>
      <c r="V203" s="910"/>
    </row>
    <row r="204" spans="1:22" x14ac:dyDescent="0.25">
      <c r="A204" s="772"/>
      <c r="B204" s="767" t="str">
        <f t="shared" si="6"/>
        <v xml:space="preserve"> </v>
      </c>
      <c r="C204" s="768" t="str">
        <f t="shared" si="7"/>
        <v xml:space="preserve"> </v>
      </c>
      <c r="D204" s="486"/>
      <c r="E204" s="308" cm="1">
        <f t="array" ref="E204">_xlfn.XLOOKUP(A204&amp;D204, $A$562:$J$562&amp;$A$563:$J$563, $A$564:$J$564, " ")</f>
        <v>0</v>
      </c>
      <c r="F204" s="872" cm="1">
        <f t="array" ref="F204">_xlfn.XLOOKUP(A204&amp;D204, $A$562:$J$562&amp;$A$563:$J$563, $A$565:$J$565, " ")</f>
        <v>0</v>
      </c>
      <c r="G204" s="510"/>
      <c r="H204" s="840"/>
      <c r="I204" s="510"/>
      <c r="J204" s="510"/>
      <c r="K204" s="511"/>
      <c r="L204" s="510"/>
      <c r="M204" s="580"/>
      <c r="N204" s="580"/>
      <c r="O204" s="580"/>
      <c r="P204" s="910"/>
      <c r="Q204" s="910"/>
      <c r="R204" s="910"/>
      <c r="S204" s="910"/>
      <c r="T204" s="910"/>
      <c r="U204" s="910"/>
      <c r="V204" s="910"/>
    </row>
    <row r="205" spans="1:22" x14ac:dyDescent="0.25">
      <c r="A205" s="772"/>
      <c r="B205" s="767" t="str">
        <f t="shared" si="6"/>
        <v xml:space="preserve"> </v>
      </c>
      <c r="C205" s="768" t="str">
        <f t="shared" si="7"/>
        <v xml:space="preserve"> </v>
      </c>
      <c r="D205" s="486"/>
      <c r="E205" s="308" cm="1">
        <f t="array" ref="E205">_xlfn.XLOOKUP(A205&amp;D205, $A$562:$J$562&amp;$A$563:$J$563, $A$564:$J$564, " ")</f>
        <v>0</v>
      </c>
      <c r="F205" s="872" cm="1">
        <f t="array" ref="F205">_xlfn.XLOOKUP(A205&amp;D205, $A$562:$J$562&amp;$A$563:$J$563, $A$565:$J$565, " ")</f>
        <v>0</v>
      </c>
      <c r="G205" s="510"/>
      <c r="H205" s="840"/>
      <c r="I205" s="510"/>
      <c r="J205" s="510"/>
      <c r="K205" s="511"/>
      <c r="L205" s="510"/>
      <c r="M205" s="580"/>
      <c r="N205" s="580"/>
      <c r="O205" s="580"/>
      <c r="P205" s="910"/>
      <c r="Q205" s="910"/>
      <c r="R205" s="910"/>
      <c r="S205" s="910"/>
      <c r="T205" s="910"/>
      <c r="U205" s="910"/>
      <c r="V205" s="910"/>
    </row>
    <row r="206" spans="1:22" x14ac:dyDescent="0.25">
      <c r="A206" s="772"/>
      <c r="B206" s="767" t="str">
        <f t="shared" si="6"/>
        <v xml:space="preserve"> </v>
      </c>
      <c r="C206" s="768" t="str">
        <f t="shared" si="7"/>
        <v xml:space="preserve"> </v>
      </c>
      <c r="D206" s="486"/>
      <c r="E206" s="308" cm="1">
        <f t="array" ref="E206">_xlfn.XLOOKUP(A206&amp;D206, $A$562:$J$562&amp;$A$563:$J$563, $A$564:$J$564, " ")</f>
        <v>0</v>
      </c>
      <c r="F206" s="872" cm="1">
        <f t="array" ref="F206">_xlfn.XLOOKUP(A206&amp;D206, $A$562:$J$562&amp;$A$563:$J$563, $A$565:$J$565, " ")</f>
        <v>0</v>
      </c>
      <c r="G206" s="510"/>
      <c r="H206" s="840"/>
      <c r="I206" s="510"/>
      <c r="J206" s="510"/>
      <c r="K206" s="511"/>
      <c r="L206" s="510"/>
      <c r="M206" s="580"/>
      <c r="N206" s="580"/>
      <c r="O206" s="580"/>
      <c r="P206" s="910"/>
      <c r="Q206" s="910"/>
      <c r="R206" s="910"/>
      <c r="S206" s="910"/>
      <c r="T206" s="910"/>
      <c r="U206" s="910"/>
      <c r="V206" s="910"/>
    </row>
    <row r="207" spans="1:22" x14ac:dyDescent="0.25">
      <c r="A207" s="772"/>
      <c r="B207" s="767" t="str">
        <f t="shared" si="6"/>
        <v xml:space="preserve"> </v>
      </c>
      <c r="C207" s="768" t="str">
        <f t="shared" si="7"/>
        <v xml:space="preserve"> </v>
      </c>
      <c r="D207" s="486"/>
      <c r="E207" s="308" cm="1">
        <f t="array" ref="E207">_xlfn.XLOOKUP(A207&amp;D207, $A$562:$J$562&amp;$A$563:$J$563, $A$564:$J$564, " ")</f>
        <v>0</v>
      </c>
      <c r="F207" s="872" cm="1">
        <f t="array" ref="F207">_xlfn.XLOOKUP(A207&amp;D207, $A$562:$J$562&amp;$A$563:$J$563, $A$565:$J$565, " ")</f>
        <v>0</v>
      </c>
      <c r="G207" s="510"/>
      <c r="H207" s="840"/>
      <c r="I207" s="510"/>
      <c r="J207" s="510"/>
      <c r="K207" s="511"/>
      <c r="L207" s="510"/>
      <c r="M207" s="580"/>
      <c r="N207" s="580"/>
      <c r="O207" s="580"/>
      <c r="P207" s="910"/>
      <c r="Q207" s="910"/>
      <c r="R207" s="910"/>
      <c r="S207" s="910"/>
      <c r="T207" s="910"/>
      <c r="U207" s="910"/>
      <c r="V207" s="910"/>
    </row>
    <row r="208" spans="1:22" x14ac:dyDescent="0.25">
      <c r="A208" s="772"/>
      <c r="B208" s="767" t="str">
        <f t="shared" si="6"/>
        <v xml:space="preserve"> </v>
      </c>
      <c r="C208" s="768" t="str">
        <f t="shared" si="7"/>
        <v xml:space="preserve"> </v>
      </c>
      <c r="D208" s="486"/>
      <c r="E208" s="308" cm="1">
        <f t="array" ref="E208">_xlfn.XLOOKUP(A208&amp;D208, $A$562:$J$562&amp;$A$563:$J$563, $A$564:$J$564, " ")</f>
        <v>0</v>
      </c>
      <c r="F208" s="872" cm="1">
        <f t="array" ref="F208">_xlfn.XLOOKUP(A208&amp;D208, $A$562:$J$562&amp;$A$563:$J$563, $A$565:$J$565, " ")</f>
        <v>0</v>
      </c>
      <c r="G208" s="510"/>
      <c r="H208" s="840"/>
      <c r="I208" s="510"/>
      <c r="J208" s="510"/>
      <c r="K208" s="511"/>
      <c r="L208" s="510"/>
      <c r="M208" s="580"/>
      <c r="N208" s="580"/>
      <c r="O208" s="580"/>
      <c r="P208" s="910"/>
      <c r="Q208" s="910"/>
      <c r="R208" s="910"/>
      <c r="S208" s="910"/>
      <c r="T208" s="910"/>
      <c r="U208" s="910"/>
      <c r="V208" s="910"/>
    </row>
    <row r="209" spans="1:22" x14ac:dyDescent="0.25">
      <c r="A209" s="772"/>
      <c r="B209" s="767" t="str">
        <f t="shared" si="6"/>
        <v xml:space="preserve"> </v>
      </c>
      <c r="C209" s="768" t="str">
        <f t="shared" si="7"/>
        <v xml:space="preserve"> </v>
      </c>
      <c r="D209" s="486"/>
      <c r="E209" s="308" cm="1">
        <f t="array" ref="E209">_xlfn.XLOOKUP(A209&amp;D209, $A$562:$J$562&amp;$A$563:$J$563, $A$564:$J$564, " ")</f>
        <v>0</v>
      </c>
      <c r="F209" s="872" cm="1">
        <f t="array" ref="F209">_xlfn.XLOOKUP(A209&amp;D209, $A$562:$J$562&amp;$A$563:$J$563, $A$565:$J$565, " ")</f>
        <v>0</v>
      </c>
      <c r="G209" s="510"/>
      <c r="H209" s="840"/>
      <c r="I209" s="510"/>
      <c r="J209" s="510"/>
      <c r="K209" s="511"/>
      <c r="L209" s="510"/>
      <c r="M209" s="580"/>
      <c r="N209" s="580"/>
      <c r="O209" s="580"/>
      <c r="P209" s="910"/>
      <c r="Q209" s="910"/>
      <c r="R209" s="910"/>
      <c r="S209" s="910"/>
      <c r="T209" s="910"/>
      <c r="U209" s="910"/>
      <c r="V209" s="910"/>
    </row>
    <row r="210" spans="1:22" x14ac:dyDescent="0.25">
      <c r="A210" s="772"/>
      <c r="B210" s="767" t="str">
        <f t="shared" si="6"/>
        <v xml:space="preserve"> </v>
      </c>
      <c r="C210" s="768" t="str">
        <f t="shared" si="7"/>
        <v xml:space="preserve"> </v>
      </c>
      <c r="D210" s="486"/>
      <c r="E210" s="308" cm="1">
        <f t="array" ref="E210">_xlfn.XLOOKUP(A210&amp;D210, $A$562:$J$562&amp;$A$563:$J$563, $A$564:$J$564, " ")</f>
        <v>0</v>
      </c>
      <c r="F210" s="872" cm="1">
        <f t="array" ref="F210">_xlfn.XLOOKUP(A210&amp;D210, $A$562:$J$562&amp;$A$563:$J$563, $A$565:$J$565, " ")</f>
        <v>0</v>
      </c>
      <c r="G210" s="510"/>
      <c r="H210" s="840"/>
      <c r="I210" s="510"/>
      <c r="J210" s="510"/>
      <c r="K210" s="511"/>
      <c r="L210" s="510"/>
      <c r="M210" s="580"/>
      <c r="N210" s="580"/>
      <c r="O210" s="580"/>
      <c r="P210" s="910"/>
      <c r="Q210" s="910"/>
      <c r="R210" s="910"/>
      <c r="S210" s="910"/>
      <c r="T210" s="910"/>
      <c r="U210" s="910"/>
      <c r="V210" s="910"/>
    </row>
    <row r="211" spans="1:22" x14ac:dyDescent="0.25">
      <c r="A211" s="772"/>
      <c r="B211" s="767" t="str">
        <f t="shared" si="6"/>
        <v xml:space="preserve"> </v>
      </c>
      <c r="C211" s="768" t="str">
        <f t="shared" si="7"/>
        <v xml:space="preserve"> </v>
      </c>
      <c r="D211" s="486"/>
      <c r="E211" s="308" cm="1">
        <f t="array" ref="E211">_xlfn.XLOOKUP(A211&amp;D211, $A$562:$J$562&amp;$A$563:$J$563, $A$564:$J$564, " ")</f>
        <v>0</v>
      </c>
      <c r="F211" s="872" cm="1">
        <f t="array" ref="F211">_xlfn.XLOOKUP(A211&amp;D211, $A$562:$J$562&amp;$A$563:$J$563, $A$565:$J$565, " ")</f>
        <v>0</v>
      </c>
      <c r="G211" s="510"/>
      <c r="H211" s="840"/>
      <c r="I211" s="510"/>
      <c r="J211" s="510"/>
      <c r="K211" s="511"/>
      <c r="L211" s="510"/>
      <c r="M211" s="580"/>
      <c r="N211" s="580"/>
      <c r="O211" s="580"/>
      <c r="P211" s="910"/>
      <c r="Q211" s="910"/>
      <c r="R211" s="910"/>
      <c r="S211" s="910"/>
      <c r="T211" s="910"/>
      <c r="U211" s="910"/>
      <c r="V211" s="910"/>
    </row>
    <row r="212" spans="1:22" x14ac:dyDescent="0.25">
      <c r="A212" s="772"/>
      <c r="B212" s="767" t="str">
        <f t="shared" si="6"/>
        <v xml:space="preserve"> </v>
      </c>
      <c r="C212" s="768" t="str">
        <f t="shared" si="7"/>
        <v xml:space="preserve"> </v>
      </c>
      <c r="D212" s="486"/>
      <c r="E212" s="308" cm="1">
        <f t="array" ref="E212">_xlfn.XLOOKUP(A212&amp;D212, $A$562:$J$562&amp;$A$563:$J$563, $A$564:$J$564, " ")</f>
        <v>0</v>
      </c>
      <c r="F212" s="872" cm="1">
        <f t="array" ref="F212">_xlfn.XLOOKUP(A212&amp;D212, $A$562:$J$562&amp;$A$563:$J$563, $A$565:$J$565, " ")</f>
        <v>0</v>
      </c>
      <c r="G212" s="510"/>
      <c r="H212" s="840"/>
      <c r="I212" s="510"/>
      <c r="J212" s="510"/>
      <c r="K212" s="511"/>
      <c r="L212" s="510"/>
      <c r="M212" s="580"/>
      <c r="N212" s="580"/>
      <c r="O212" s="580"/>
      <c r="P212" s="910"/>
      <c r="Q212" s="910"/>
      <c r="R212" s="910"/>
      <c r="S212" s="910"/>
      <c r="T212" s="910"/>
      <c r="U212" s="910"/>
      <c r="V212" s="910"/>
    </row>
    <row r="213" spans="1:22" x14ac:dyDescent="0.25">
      <c r="A213" s="772"/>
      <c r="B213" s="767" t="str">
        <f t="shared" si="6"/>
        <v xml:space="preserve"> </v>
      </c>
      <c r="C213" s="768" t="str">
        <f t="shared" si="7"/>
        <v xml:space="preserve"> </v>
      </c>
      <c r="D213" s="486"/>
      <c r="E213" s="308" cm="1">
        <f t="array" ref="E213">_xlfn.XLOOKUP(A213&amp;D213, $A$562:$J$562&amp;$A$563:$J$563, $A$564:$J$564, " ")</f>
        <v>0</v>
      </c>
      <c r="F213" s="872" cm="1">
        <f t="array" ref="F213">_xlfn.XLOOKUP(A213&amp;D213, $A$562:$J$562&amp;$A$563:$J$563, $A$565:$J$565, " ")</f>
        <v>0</v>
      </c>
      <c r="G213" s="510"/>
      <c r="H213" s="840"/>
      <c r="I213" s="510"/>
      <c r="J213" s="510"/>
      <c r="K213" s="511"/>
      <c r="L213" s="510"/>
      <c r="M213" s="580"/>
      <c r="N213" s="580"/>
      <c r="O213" s="580"/>
      <c r="P213" s="910"/>
      <c r="Q213" s="910"/>
      <c r="R213" s="910"/>
      <c r="S213" s="910"/>
      <c r="T213" s="910"/>
      <c r="U213" s="910"/>
      <c r="V213" s="910"/>
    </row>
    <row r="214" spans="1:22" x14ac:dyDescent="0.25">
      <c r="A214" s="772"/>
      <c r="B214" s="767" t="str">
        <f t="shared" si="6"/>
        <v xml:space="preserve"> </v>
      </c>
      <c r="C214" s="768" t="str">
        <f t="shared" si="7"/>
        <v xml:space="preserve"> </v>
      </c>
      <c r="D214" s="486"/>
      <c r="E214" s="308" cm="1">
        <f t="array" ref="E214">_xlfn.XLOOKUP(A214&amp;D214, $A$562:$J$562&amp;$A$563:$J$563, $A$564:$J$564, " ")</f>
        <v>0</v>
      </c>
      <c r="F214" s="872" cm="1">
        <f t="array" ref="F214">_xlfn.XLOOKUP(A214&amp;D214, $A$562:$J$562&amp;$A$563:$J$563, $A$565:$J$565, " ")</f>
        <v>0</v>
      </c>
      <c r="G214" s="510"/>
      <c r="H214" s="840"/>
      <c r="I214" s="510"/>
      <c r="J214" s="510"/>
      <c r="K214" s="511"/>
      <c r="L214" s="510"/>
      <c r="M214" s="580"/>
      <c r="N214" s="580"/>
      <c r="O214" s="580"/>
      <c r="P214" s="910"/>
      <c r="Q214" s="910"/>
      <c r="R214" s="910"/>
      <c r="S214" s="910"/>
      <c r="T214" s="910"/>
      <c r="U214" s="910"/>
      <c r="V214" s="910"/>
    </row>
    <row r="215" spans="1:22" x14ac:dyDescent="0.25">
      <c r="A215" s="772"/>
      <c r="B215" s="767" t="str">
        <f t="shared" si="6"/>
        <v xml:space="preserve"> </v>
      </c>
      <c r="C215" s="768" t="str">
        <f t="shared" si="7"/>
        <v xml:space="preserve"> </v>
      </c>
      <c r="D215" s="486"/>
      <c r="E215" s="308" cm="1">
        <f t="array" ref="E215">_xlfn.XLOOKUP(A215&amp;D215, $A$562:$J$562&amp;$A$563:$J$563, $A$564:$J$564, " ")</f>
        <v>0</v>
      </c>
      <c r="F215" s="872" cm="1">
        <f t="array" ref="F215">_xlfn.XLOOKUP(A215&amp;D215, $A$562:$J$562&amp;$A$563:$J$563, $A$565:$J$565, " ")</f>
        <v>0</v>
      </c>
      <c r="G215" s="510"/>
      <c r="H215" s="840"/>
      <c r="I215" s="510"/>
      <c r="J215" s="510"/>
      <c r="K215" s="511"/>
      <c r="L215" s="510"/>
      <c r="M215" s="580"/>
      <c r="N215" s="580"/>
      <c r="O215" s="580"/>
      <c r="P215" s="910"/>
      <c r="Q215" s="910"/>
      <c r="R215" s="910"/>
      <c r="S215" s="910"/>
      <c r="T215" s="910"/>
      <c r="U215" s="910"/>
      <c r="V215" s="910"/>
    </row>
    <row r="216" spans="1:22" x14ac:dyDescent="0.25">
      <c r="A216" s="772"/>
      <c r="B216" s="767" t="str">
        <f t="shared" si="6"/>
        <v xml:space="preserve"> </v>
      </c>
      <c r="C216" s="768" t="str">
        <f t="shared" si="7"/>
        <v xml:space="preserve"> </v>
      </c>
      <c r="D216" s="486"/>
      <c r="E216" s="308" cm="1">
        <f t="array" ref="E216">_xlfn.XLOOKUP(A216&amp;D216, $A$562:$J$562&amp;$A$563:$J$563, $A$564:$J$564, " ")</f>
        <v>0</v>
      </c>
      <c r="F216" s="872" cm="1">
        <f t="array" ref="F216">_xlfn.XLOOKUP(A216&amp;D216, $A$562:$J$562&amp;$A$563:$J$563, $A$565:$J$565, " ")</f>
        <v>0</v>
      </c>
      <c r="G216" s="510"/>
      <c r="H216" s="840"/>
      <c r="I216" s="510"/>
      <c r="J216" s="510"/>
      <c r="K216" s="511"/>
      <c r="L216" s="510"/>
      <c r="M216" s="580"/>
      <c r="N216" s="580"/>
      <c r="O216" s="580"/>
      <c r="P216" s="910"/>
      <c r="Q216" s="910"/>
      <c r="R216" s="910"/>
      <c r="S216" s="910"/>
      <c r="T216" s="910"/>
      <c r="U216" s="910"/>
      <c r="V216" s="910"/>
    </row>
    <row r="217" spans="1:22" x14ac:dyDescent="0.25">
      <c r="A217" s="772"/>
      <c r="B217" s="767" t="str">
        <f t="shared" si="6"/>
        <v xml:space="preserve"> </v>
      </c>
      <c r="C217" s="768" t="str">
        <f t="shared" si="7"/>
        <v xml:space="preserve"> </v>
      </c>
      <c r="D217" s="486"/>
      <c r="E217" s="308" cm="1">
        <f t="array" ref="E217">_xlfn.XLOOKUP(A217&amp;D217, $A$562:$J$562&amp;$A$563:$J$563, $A$564:$J$564, " ")</f>
        <v>0</v>
      </c>
      <c r="F217" s="872" cm="1">
        <f t="array" ref="F217">_xlfn.XLOOKUP(A217&amp;D217, $A$562:$J$562&amp;$A$563:$J$563, $A$565:$J$565, " ")</f>
        <v>0</v>
      </c>
      <c r="G217" s="510"/>
      <c r="H217" s="840"/>
      <c r="I217" s="510"/>
      <c r="J217" s="510"/>
      <c r="K217" s="511"/>
      <c r="L217" s="510"/>
      <c r="M217" s="580"/>
      <c r="N217" s="580"/>
      <c r="O217" s="580"/>
      <c r="P217" s="910"/>
      <c r="Q217" s="910"/>
      <c r="R217" s="910"/>
      <c r="S217" s="910"/>
      <c r="T217" s="910"/>
      <c r="U217" s="910"/>
      <c r="V217" s="910"/>
    </row>
    <row r="218" spans="1:22" x14ac:dyDescent="0.25">
      <c r="A218" s="772"/>
      <c r="B218" s="767" t="str">
        <f t="shared" si="6"/>
        <v xml:space="preserve"> </v>
      </c>
      <c r="C218" s="768" t="str">
        <f t="shared" si="7"/>
        <v xml:space="preserve"> </v>
      </c>
      <c r="D218" s="486"/>
      <c r="E218" s="308" cm="1">
        <f t="array" ref="E218">_xlfn.XLOOKUP(A218&amp;D218, $A$562:$J$562&amp;$A$563:$J$563, $A$564:$J$564, " ")</f>
        <v>0</v>
      </c>
      <c r="F218" s="872" cm="1">
        <f t="array" ref="F218">_xlfn.XLOOKUP(A218&amp;D218, $A$562:$J$562&amp;$A$563:$J$563, $A$565:$J$565, " ")</f>
        <v>0</v>
      </c>
      <c r="G218" s="510"/>
      <c r="H218" s="840"/>
      <c r="I218" s="510"/>
      <c r="J218" s="510"/>
      <c r="K218" s="511"/>
      <c r="L218" s="510"/>
      <c r="M218" s="580"/>
      <c r="N218" s="580"/>
      <c r="O218" s="580"/>
      <c r="P218" s="910"/>
      <c r="Q218" s="910"/>
      <c r="R218" s="910"/>
      <c r="S218" s="910"/>
      <c r="T218" s="910"/>
      <c r="U218" s="910"/>
      <c r="V218" s="910"/>
    </row>
    <row r="219" spans="1:22" x14ac:dyDescent="0.25">
      <c r="A219" s="772"/>
      <c r="B219" s="767" t="str">
        <f t="shared" si="6"/>
        <v xml:space="preserve"> </v>
      </c>
      <c r="C219" s="768" t="str">
        <f t="shared" si="7"/>
        <v xml:space="preserve"> </v>
      </c>
      <c r="D219" s="486"/>
      <c r="E219" s="308" cm="1">
        <f t="array" ref="E219">_xlfn.XLOOKUP(A219&amp;D219, $A$562:$J$562&amp;$A$563:$J$563, $A$564:$J$564, " ")</f>
        <v>0</v>
      </c>
      <c r="F219" s="872" cm="1">
        <f t="array" ref="F219">_xlfn.XLOOKUP(A219&amp;D219, $A$562:$J$562&amp;$A$563:$J$563, $A$565:$J$565, " ")</f>
        <v>0</v>
      </c>
      <c r="G219" s="510"/>
      <c r="H219" s="840"/>
      <c r="I219" s="510"/>
      <c r="J219" s="510"/>
      <c r="K219" s="511"/>
      <c r="L219" s="510"/>
      <c r="M219" s="580"/>
      <c r="N219" s="580"/>
      <c r="O219" s="580"/>
      <c r="P219" s="910"/>
      <c r="Q219" s="910"/>
      <c r="R219" s="910"/>
      <c r="S219" s="910"/>
      <c r="T219" s="910"/>
      <c r="U219" s="910"/>
      <c r="V219" s="910"/>
    </row>
    <row r="220" spans="1:22" x14ac:dyDescent="0.25">
      <c r="A220" s="772"/>
      <c r="B220" s="767" t="str">
        <f t="shared" si="6"/>
        <v xml:space="preserve"> </v>
      </c>
      <c r="C220" s="768" t="str">
        <f t="shared" si="7"/>
        <v xml:space="preserve"> </v>
      </c>
      <c r="D220" s="486"/>
      <c r="E220" s="308" cm="1">
        <f t="array" ref="E220">_xlfn.XLOOKUP(A220&amp;D220, $A$562:$J$562&amp;$A$563:$J$563, $A$564:$J$564, " ")</f>
        <v>0</v>
      </c>
      <c r="F220" s="872" cm="1">
        <f t="array" ref="F220">_xlfn.XLOOKUP(A220&amp;D220, $A$562:$J$562&amp;$A$563:$J$563, $A$565:$J$565, " ")</f>
        <v>0</v>
      </c>
      <c r="G220" s="510"/>
      <c r="H220" s="840"/>
      <c r="I220" s="510"/>
      <c r="J220" s="510"/>
      <c r="K220" s="511"/>
      <c r="L220" s="510"/>
      <c r="M220" s="580"/>
      <c r="N220" s="580"/>
      <c r="O220" s="580"/>
      <c r="P220" s="910"/>
      <c r="Q220" s="910"/>
      <c r="R220" s="910"/>
      <c r="S220" s="910"/>
      <c r="T220" s="910"/>
      <c r="U220" s="910"/>
      <c r="V220" s="910"/>
    </row>
    <row r="221" spans="1:22" x14ac:dyDescent="0.25">
      <c r="A221" s="772"/>
      <c r="B221" s="767" t="str">
        <f t="shared" si="6"/>
        <v xml:space="preserve"> </v>
      </c>
      <c r="C221" s="768" t="str">
        <f t="shared" si="7"/>
        <v xml:space="preserve"> </v>
      </c>
      <c r="D221" s="486"/>
      <c r="E221" s="308" cm="1">
        <f t="array" ref="E221">_xlfn.XLOOKUP(A221&amp;D221, $A$562:$J$562&amp;$A$563:$J$563, $A$564:$J$564, " ")</f>
        <v>0</v>
      </c>
      <c r="F221" s="872" cm="1">
        <f t="array" ref="F221">_xlfn.XLOOKUP(A221&amp;D221, $A$562:$J$562&amp;$A$563:$J$563, $A$565:$J$565, " ")</f>
        <v>0</v>
      </c>
      <c r="G221" s="510"/>
      <c r="H221" s="840"/>
      <c r="I221" s="510"/>
      <c r="J221" s="510"/>
      <c r="K221" s="511"/>
      <c r="L221" s="510"/>
      <c r="M221" s="580"/>
      <c r="N221" s="580"/>
      <c r="O221" s="580"/>
      <c r="P221" s="910"/>
      <c r="Q221" s="910"/>
      <c r="R221" s="910"/>
      <c r="S221" s="910"/>
      <c r="T221" s="910"/>
      <c r="U221" s="910"/>
      <c r="V221" s="910"/>
    </row>
    <row r="222" spans="1:22" x14ac:dyDescent="0.25">
      <c r="A222" s="772"/>
      <c r="B222" s="767" t="str">
        <f t="shared" si="6"/>
        <v xml:space="preserve"> </v>
      </c>
      <c r="C222" s="768" t="str">
        <f t="shared" si="7"/>
        <v xml:space="preserve"> </v>
      </c>
      <c r="D222" s="486"/>
      <c r="E222" s="308" cm="1">
        <f t="array" ref="E222">_xlfn.XLOOKUP(A222&amp;D222, $A$562:$J$562&amp;$A$563:$J$563, $A$564:$J$564, " ")</f>
        <v>0</v>
      </c>
      <c r="F222" s="872" cm="1">
        <f t="array" ref="F222">_xlfn.XLOOKUP(A222&amp;D222, $A$562:$J$562&amp;$A$563:$J$563, $A$565:$J$565, " ")</f>
        <v>0</v>
      </c>
      <c r="G222" s="510"/>
      <c r="H222" s="840"/>
      <c r="I222" s="510"/>
      <c r="J222" s="510"/>
      <c r="K222" s="511"/>
      <c r="L222" s="510"/>
      <c r="M222" s="580"/>
      <c r="N222" s="580"/>
      <c r="O222" s="580"/>
      <c r="P222" s="910"/>
      <c r="Q222" s="910"/>
      <c r="R222" s="910"/>
      <c r="S222" s="910"/>
      <c r="T222" s="910"/>
      <c r="U222" s="910"/>
      <c r="V222" s="910"/>
    </row>
    <row r="223" spans="1:22" x14ac:dyDescent="0.25">
      <c r="A223" s="772"/>
      <c r="B223" s="767" t="str">
        <f t="shared" si="6"/>
        <v xml:space="preserve"> </v>
      </c>
      <c r="C223" s="768" t="str">
        <f t="shared" si="7"/>
        <v xml:space="preserve"> </v>
      </c>
      <c r="D223" s="486"/>
      <c r="E223" s="308" cm="1">
        <f t="array" ref="E223">_xlfn.XLOOKUP(A223&amp;D223, $A$562:$J$562&amp;$A$563:$J$563, $A$564:$J$564, " ")</f>
        <v>0</v>
      </c>
      <c r="F223" s="872" cm="1">
        <f t="array" ref="F223">_xlfn.XLOOKUP(A223&amp;D223, $A$562:$J$562&amp;$A$563:$J$563, $A$565:$J$565, " ")</f>
        <v>0</v>
      </c>
      <c r="G223" s="510"/>
      <c r="H223" s="840"/>
      <c r="I223" s="510"/>
      <c r="J223" s="510"/>
      <c r="K223" s="511"/>
      <c r="L223" s="510"/>
      <c r="M223" s="580"/>
      <c r="N223" s="580"/>
      <c r="O223" s="580"/>
      <c r="P223" s="910"/>
      <c r="Q223" s="910"/>
      <c r="R223" s="910"/>
      <c r="S223" s="910"/>
      <c r="T223" s="910"/>
      <c r="U223" s="910"/>
      <c r="V223" s="910"/>
    </row>
    <row r="224" spans="1:22" x14ac:dyDescent="0.25">
      <c r="A224" s="772"/>
      <c r="B224" s="767" t="str">
        <f t="shared" si="6"/>
        <v xml:space="preserve"> </v>
      </c>
      <c r="C224" s="768" t="str">
        <f t="shared" si="7"/>
        <v xml:space="preserve"> </v>
      </c>
      <c r="D224" s="486"/>
      <c r="E224" s="308" cm="1">
        <f t="array" ref="E224">_xlfn.XLOOKUP(A224&amp;D224, $A$562:$J$562&amp;$A$563:$J$563, $A$564:$J$564, " ")</f>
        <v>0</v>
      </c>
      <c r="F224" s="872" cm="1">
        <f t="array" ref="F224">_xlfn.XLOOKUP(A224&amp;D224, $A$562:$J$562&amp;$A$563:$J$563, $A$565:$J$565, " ")</f>
        <v>0</v>
      </c>
      <c r="G224" s="510"/>
      <c r="H224" s="840"/>
      <c r="I224" s="510"/>
      <c r="J224" s="510"/>
      <c r="K224" s="511"/>
      <c r="L224" s="510"/>
      <c r="M224" s="580"/>
      <c r="N224" s="580"/>
      <c r="O224" s="580"/>
      <c r="P224" s="910"/>
      <c r="Q224" s="910"/>
      <c r="R224" s="910"/>
      <c r="S224" s="910"/>
      <c r="T224" s="910"/>
      <c r="U224" s="910"/>
      <c r="V224" s="910"/>
    </row>
    <row r="225" spans="1:22" x14ac:dyDescent="0.25">
      <c r="A225" s="772"/>
      <c r="B225" s="767" t="str">
        <f t="shared" si="6"/>
        <v xml:space="preserve"> </v>
      </c>
      <c r="C225" s="768" t="str">
        <f t="shared" si="7"/>
        <v xml:space="preserve"> </v>
      </c>
      <c r="D225" s="486"/>
      <c r="E225" s="308" cm="1">
        <f t="array" ref="E225">_xlfn.XLOOKUP(A225&amp;D225, $A$562:$J$562&amp;$A$563:$J$563, $A$564:$J$564, " ")</f>
        <v>0</v>
      </c>
      <c r="F225" s="872" cm="1">
        <f t="array" ref="F225">_xlfn.XLOOKUP(A225&amp;D225, $A$562:$J$562&amp;$A$563:$J$563, $A$565:$J$565, " ")</f>
        <v>0</v>
      </c>
      <c r="G225" s="510"/>
      <c r="H225" s="840"/>
      <c r="I225" s="510"/>
      <c r="J225" s="510"/>
      <c r="K225" s="511"/>
      <c r="L225" s="510"/>
      <c r="M225" s="580"/>
      <c r="N225" s="580"/>
      <c r="O225" s="580"/>
      <c r="P225" s="910"/>
      <c r="Q225" s="910"/>
      <c r="R225" s="910"/>
      <c r="S225" s="910"/>
      <c r="T225" s="910"/>
      <c r="U225" s="910"/>
      <c r="V225" s="910"/>
    </row>
    <row r="226" spans="1:22" x14ac:dyDescent="0.25">
      <c r="A226" s="772"/>
      <c r="B226" s="767" t="str">
        <f t="shared" si="6"/>
        <v xml:space="preserve"> </v>
      </c>
      <c r="C226" s="768" t="str">
        <f t="shared" si="7"/>
        <v xml:space="preserve"> </v>
      </c>
      <c r="D226" s="486"/>
      <c r="E226" s="308" cm="1">
        <f t="array" ref="E226">_xlfn.XLOOKUP(A226&amp;D226, $A$562:$J$562&amp;$A$563:$J$563, $A$564:$J$564, " ")</f>
        <v>0</v>
      </c>
      <c r="F226" s="872" cm="1">
        <f t="array" ref="F226">_xlfn.XLOOKUP(A226&amp;D226, $A$562:$J$562&amp;$A$563:$J$563, $A$565:$J$565, " ")</f>
        <v>0</v>
      </c>
      <c r="G226" s="510"/>
      <c r="H226" s="840"/>
      <c r="I226" s="510"/>
      <c r="J226" s="510"/>
      <c r="K226" s="511"/>
      <c r="L226" s="510"/>
      <c r="M226" s="580"/>
      <c r="N226" s="580"/>
      <c r="O226" s="580"/>
      <c r="P226" s="910"/>
      <c r="Q226" s="910"/>
      <c r="R226" s="910"/>
      <c r="S226" s="910"/>
      <c r="T226" s="910"/>
      <c r="U226" s="910"/>
      <c r="V226" s="910"/>
    </row>
    <row r="227" spans="1:22" x14ac:dyDescent="0.25">
      <c r="A227" s="772"/>
      <c r="B227" s="767" t="str">
        <f t="shared" si="6"/>
        <v xml:space="preserve"> </v>
      </c>
      <c r="C227" s="768" t="str">
        <f t="shared" si="7"/>
        <v xml:space="preserve"> </v>
      </c>
      <c r="D227" s="486"/>
      <c r="E227" s="308" cm="1">
        <f t="array" ref="E227">_xlfn.XLOOKUP(A227&amp;D227, $A$562:$J$562&amp;$A$563:$J$563, $A$564:$J$564, " ")</f>
        <v>0</v>
      </c>
      <c r="F227" s="872" cm="1">
        <f t="array" ref="F227">_xlfn.XLOOKUP(A227&amp;D227, $A$562:$J$562&amp;$A$563:$J$563, $A$565:$J$565, " ")</f>
        <v>0</v>
      </c>
      <c r="G227" s="510"/>
      <c r="H227" s="840"/>
      <c r="I227" s="510"/>
      <c r="J227" s="510"/>
      <c r="K227" s="511"/>
      <c r="L227" s="510"/>
      <c r="M227" s="580"/>
      <c r="N227" s="580"/>
      <c r="O227" s="580"/>
      <c r="P227" s="910"/>
      <c r="Q227" s="910"/>
      <c r="R227" s="910"/>
      <c r="S227" s="910"/>
      <c r="T227" s="910"/>
      <c r="U227" s="910"/>
      <c r="V227" s="910"/>
    </row>
    <row r="228" spans="1:22" x14ac:dyDescent="0.25">
      <c r="A228" s="772"/>
      <c r="B228" s="767" t="str">
        <f t="shared" si="6"/>
        <v xml:space="preserve"> </v>
      </c>
      <c r="C228" s="768" t="str">
        <f t="shared" si="7"/>
        <v xml:space="preserve"> </v>
      </c>
      <c r="D228" s="486"/>
      <c r="E228" s="308" cm="1">
        <f t="array" ref="E228">_xlfn.XLOOKUP(A228&amp;D228, $A$562:$J$562&amp;$A$563:$J$563, $A$564:$J$564, " ")</f>
        <v>0</v>
      </c>
      <c r="F228" s="872" cm="1">
        <f t="array" ref="F228">_xlfn.XLOOKUP(A228&amp;D228, $A$562:$J$562&amp;$A$563:$J$563, $A$565:$J$565, " ")</f>
        <v>0</v>
      </c>
      <c r="G228" s="510"/>
      <c r="H228" s="840"/>
      <c r="I228" s="510"/>
      <c r="J228" s="510"/>
      <c r="K228" s="511"/>
      <c r="L228" s="510"/>
      <c r="M228" s="580"/>
      <c r="N228" s="580"/>
      <c r="O228" s="580"/>
      <c r="P228" s="910"/>
      <c r="Q228" s="910"/>
      <c r="R228" s="910"/>
      <c r="S228" s="910"/>
      <c r="T228" s="910"/>
      <c r="U228" s="910"/>
      <c r="V228" s="910"/>
    </row>
    <row r="229" spans="1:22" x14ac:dyDescent="0.25">
      <c r="A229" s="772"/>
      <c r="B229" s="767" t="str">
        <f t="shared" si="6"/>
        <v xml:space="preserve"> </v>
      </c>
      <c r="C229" s="768" t="str">
        <f t="shared" si="7"/>
        <v xml:space="preserve"> </v>
      </c>
      <c r="D229" s="486"/>
      <c r="E229" s="308" cm="1">
        <f t="array" ref="E229">_xlfn.XLOOKUP(A229&amp;D229, $A$562:$J$562&amp;$A$563:$J$563, $A$564:$J$564, " ")</f>
        <v>0</v>
      </c>
      <c r="F229" s="872" cm="1">
        <f t="array" ref="F229">_xlfn.XLOOKUP(A229&amp;D229, $A$562:$J$562&amp;$A$563:$J$563, $A$565:$J$565, " ")</f>
        <v>0</v>
      </c>
      <c r="G229" s="510"/>
      <c r="H229" s="840"/>
      <c r="I229" s="510"/>
      <c r="J229" s="510"/>
      <c r="K229" s="511"/>
      <c r="L229" s="510"/>
      <c r="M229" s="580"/>
      <c r="N229" s="580"/>
      <c r="O229" s="580"/>
      <c r="P229" s="910"/>
      <c r="Q229" s="910"/>
      <c r="R229" s="910"/>
      <c r="S229" s="910"/>
      <c r="T229" s="910"/>
      <c r="U229" s="910"/>
      <c r="V229" s="910"/>
    </row>
    <row r="230" spans="1:22" x14ac:dyDescent="0.25">
      <c r="A230" s="772"/>
      <c r="B230" s="767" t="str">
        <f t="shared" si="6"/>
        <v xml:space="preserve"> </v>
      </c>
      <c r="C230" s="768" t="str">
        <f t="shared" si="7"/>
        <v xml:space="preserve"> </v>
      </c>
      <c r="D230" s="486"/>
      <c r="E230" s="308" cm="1">
        <f t="array" ref="E230">_xlfn.XLOOKUP(A230&amp;D230, $A$562:$J$562&amp;$A$563:$J$563, $A$564:$J$564, " ")</f>
        <v>0</v>
      </c>
      <c r="F230" s="872" cm="1">
        <f t="array" ref="F230">_xlfn.XLOOKUP(A230&amp;D230, $A$562:$J$562&amp;$A$563:$J$563, $A$565:$J$565, " ")</f>
        <v>0</v>
      </c>
      <c r="G230" s="510"/>
      <c r="H230" s="840"/>
      <c r="I230" s="510"/>
      <c r="J230" s="510"/>
      <c r="K230" s="511"/>
      <c r="L230" s="510"/>
      <c r="M230" s="580"/>
      <c r="N230" s="580"/>
      <c r="O230" s="580"/>
      <c r="P230" s="910"/>
      <c r="Q230" s="910"/>
      <c r="R230" s="910"/>
      <c r="S230" s="910"/>
      <c r="T230" s="910"/>
      <c r="U230" s="910"/>
      <c r="V230" s="910"/>
    </row>
    <row r="231" spans="1:22" x14ac:dyDescent="0.25">
      <c r="A231" s="772"/>
      <c r="B231" s="767" t="str">
        <f t="shared" si="6"/>
        <v xml:space="preserve"> </v>
      </c>
      <c r="C231" s="768" t="str">
        <f t="shared" si="7"/>
        <v xml:space="preserve"> </v>
      </c>
      <c r="D231" s="486"/>
      <c r="E231" s="308" cm="1">
        <f t="array" ref="E231">_xlfn.XLOOKUP(A231&amp;D231, $A$562:$J$562&amp;$A$563:$J$563, $A$564:$J$564, " ")</f>
        <v>0</v>
      </c>
      <c r="F231" s="872" cm="1">
        <f t="array" ref="F231">_xlfn.XLOOKUP(A231&amp;D231, $A$562:$J$562&amp;$A$563:$J$563, $A$565:$J$565, " ")</f>
        <v>0</v>
      </c>
      <c r="G231" s="510"/>
      <c r="H231" s="840"/>
      <c r="I231" s="510"/>
      <c r="J231" s="510"/>
      <c r="K231" s="511"/>
      <c r="L231" s="510"/>
      <c r="M231" s="580"/>
      <c r="N231" s="580"/>
      <c r="O231" s="580"/>
      <c r="P231" s="910"/>
      <c r="Q231" s="910"/>
      <c r="R231" s="910"/>
      <c r="S231" s="910"/>
      <c r="T231" s="910"/>
      <c r="U231" s="910"/>
      <c r="V231" s="910"/>
    </row>
    <row r="232" spans="1:22" x14ac:dyDescent="0.25">
      <c r="A232" s="772"/>
      <c r="B232" s="767" t="str">
        <f t="shared" si="6"/>
        <v xml:space="preserve"> </v>
      </c>
      <c r="C232" s="768" t="str">
        <f t="shared" si="7"/>
        <v xml:space="preserve"> </v>
      </c>
      <c r="D232" s="486"/>
      <c r="E232" s="308" cm="1">
        <f t="array" ref="E232">_xlfn.XLOOKUP(A232&amp;D232, $A$562:$J$562&amp;$A$563:$J$563, $A$564:$J$564, " ")</f>
        <v>0</v>
      </c>
      <c r="F232" s="872" cm="1">
        <f t="array" ref="F232">_xlfn.XLOOKUP(A232&amp;D232, $A$562:$J$562&amp;$A$563:$J$563, $A$565:$J$565, " ")</f>
        <v>0</v>
      </c>
      <c r="G232" s="510"/>
      <c r="H232" s="840"/>
      <c r="I232" s="510"/>
      <c r="J232" s="510"/>
      <c r="K232" s="511"/>
      <c r="L232" s="510"/>
      <c r="M232" s="580"/>
      <c r="N232" s="580"/>
      <c r="O232" s="580"/>
      <c r="P232" s="910"/>
      <c r="Q232" s="910"/>
      <c r="R232" s="910"/>
      <c r="S232" s="910"/>
      <c r="T232" s="910"/>
      <c r="U232" s="910"/>
      <c r="V232" s="910"/>
    </row>
    <row r="233" spans="1:22" x14ac:dyDescent="0.25">
      <c r="A233" s="772"/>
      <c r="B233" s="767" t="str">
        <f t="shared" si="6"/>
        <v xml:space="preserve"> </v>
      </c>
      <c r="C233" s="768" t="str">
        <f t="shared" si="7"/>
        <v xml:space="preserve"> </v>
      </c>
      <c r="D233" s="486"/>
      <c r="E233" s="308" cm="1">
        <f t="array" ref="E233">_xlfn.XLOOKUP(A233&amp;D233, $A$562:$J$562&amp;$A$563:$J$563, $A$564:$J$564, " ")</f>
        <v>0</v>
      </c>
      <c r="F233" s="872" cm="1">
        <f t="array" ref="F233">_xlfn.XLOOKUP(A233&amp;D233, $A$562:$J$562&amp;$A$563:$J$563, $A$565:$J$565, " ")</f>
        <v>0</v>
      </c>
      <c r="G233" s="510"/>
      <c r="H233" s="840"/>
      <c r="I233" s="510"/>
      <c r="J233" s="510"/>
      <c r="K233" s="511"/>
      <c r="L233" s="510"/>
      <c r="M233" s="580"/>
      <c r="N233" s="580"/>
      <c r="O233" s="580"/>
      <c r="P233" s="910"/>
      <c r="Q233" s="910"/>
      <c r="R233" s="910"/>
      <c r="S233" s="910"/>
      <c r="T233" s="910"/>
      <c r="U233" s="910"/>
      <c r="V233" s="910"/>
    </row>
    <row r="234" spans="1:22" x14ac:dyDescent="0.25">
      <c r="A234" s="772"/>
      <c r="B234" s="767" t="str">
        <f t="shared" si="6"/>
        <v xml:space="preserve"> </v>
      </c>
      <c r="C234" s="768" t="str">
        <f t="shared" si="7"/>
        <v xml:space="preserve"> </v>
      </c>
      <c r="D234" s="486"/>
      <c r="E234" s="308" cm="1">
        <f t="array" ref="E234">_xlfn.XLOOKUP(A234&amp;D234, $A$562:$J$562&amp;$A$563:$J$563, $A$564:$J$564, " ")</f>
        <v>0</v>
      </c>
      <c r="F234" s="872" cm="1">
        <f t="array" ref="F234">_xlfn.XLOOKUP(A234&amp;D234, $A$562:$J$562&amp;$A$563:$J$563, $A$565:$J$565, " ")</f>
        <v>0</v>
      </c>
      <c r="G234" s="510"/>
      <c r="H234" s="840"/>
      <c r="I234" s="510"/>
      <c r="J234" s="510"/>
      <c r="K234" s="511"/>
      <c r="L234" s="510"/>
      <c r="M234" s="580"/>
      <c r="N234" s="580"/>
      <c r="O234" s="580"/>
      <c r="P234" s="910"/>
      <c r="Q234" s="910"/>
      <c r="R234" s="910"/>
      <c r="S234" s="910"/>
      <c r="T234" s="910"/>
      <c r="U234" s="910"/>
      <c r="V234" s="910"/>
    </row>
    <row r="235" spans="1:22" x14ac:dyDescent="0.25">
      <c r="A235" s="772"/>
      <c r="B235" s="767" t="str">
        <f t="shared" si="6"/>
        <v xml:space="preserve"> </v>
      </c>
      <c r="C235" s="768" t="str">
        <f t="shared" si="7"/>
        <v xml:space="preserve"> </v>
      </c>
      <c r="D235" s="486"/>
      <c r="E235" s="308" cm="1">
        <f t="array" ref="E235">_xlfn.XLOOKUP(A235&amp;D235, $A$562:$J$562&amp;$A$563:$J$563, $A$564:$J$564, " ")</f>
        <v>0</v>
      </c>
      <c r="F235" s="872" cm="1">
        <f t="array" ref="F235">_xlfn.XLOOKUP(A235&amp;D235, $A$562:$J$562&amp;$A$563:$J$563, $A$565:$J$565, " ")</f>
        <v>0</v>
      </c>
      <c r="G235" s="510"/>
      <c r="H235" s="840"/>
      <c r="I235" s="510"/>
      <c r="J235" s="510"/>
      <c r="K235" s="511"/>
      <c r="L235" s="510"/>
      <c r="M235" s="580"/>
      <c r="N235" s="580"/>
      <c r="O235" s="580"/>
      <c r="P235" s="910"/>
      <c r="Q235" s="910"/>
      <c r="R235" s="910"/>
      <c r="S235" s="910"/>
      <c r="T235" s="910"/>
      <c r="U235" s="910"/>
      <c r="V235" s="910"/>
    </row>
    <row r="236" spans="1:22" x14ac:dyDescent="0.25">
      <c r="A236" s="772"/>
      <c r="B236" s="767" t="str">
        <f t="shared" si="6"/>
        <v xml:space="preserve"> </v>
      </c>
      <c r="C236" s="768" t="str">
        <f t="shared" si="7"/>
        <v xml:space="preserve"> </v>
      </c>
      <c r="D236" s="486"/>
      <c r="E236" s="308" cm="1">
        <f t="array" ref="E236">_xlfn.XLOOKUP(A236&amp;D236, $A$562:$J$562&amp;$A$563:$J$563, $A$564:$J$564, " ")</f>
        <v>0</v>
      </c>
      <c r="F236" s="872" cm="1">
        <f t="array" ref="F236">_xlfn.XLOOKUP(A236&amp;D236, $A$562:$J$562&amp;$A$563:$J$563, $A$565:$J$565, " ")</f>
        <v>0</v>
      </c>
      <c r="G236" s="510"/>
      <c r="H236" s="840"/>
      <c r="I236" s="510"/>
      <c r="J236" s="510"/>
      <c r="K236" s="511"/>
      <c r="L236" s="510"/>
      <c r="M236" s="580"/>
      <c r="N236" s="580"/>
      <c r="O236" s="580"/>
      <c r="P236" s="910"/>
      <c r="Q236" s="910"/>
      <c r="R236" s="910"/>
      <c r="S236" s="910"/>
      <c r="T236" s="910"/>
      <c r="U236" s="910"/>
      <c r="V236" s="910"/>
    </row>
    <row r="237" spans="1:22" x14ac:dyDescent="0.25">
      <c r="A237" s="772"/>
      <c r="B237" s="767" t="str">
        <f t="shared" si="6"/>
        <v xml:space="preserve"> </v>
      </c>
      <c r="C237" s="768" t="str">
        <f t="shared" si="7"/>
        <v xml:space="preserve"> </v>
      </c>
      <c r="D237" s="486"/>
      <c r="E237" s="308" cm="1">
        <f t="array" ref="E237">_xlfn.XLOOKUP(A237&amp;D237, $A$562:$J$562&amp;$A$563:$J$563, $A$564:$J$564, " ")</f>
        <v>0</v>
      </c>
      <c r="F237" s="872" cm="1">
        <f t="array" ref="F237">_xlfn.XLOOKUP(A237&amp;D237, $A$562:$J$562&amp;$A$563:$J$563, $A$565:$J$565, " ")</f>
        <v>0</v>
      </c>
      <c r="G237" s="510"/>
      <c r="H237" s="840"/>
      <c r="I237" s="510"/>
      <c r="J237" s="510"/>
      <c r="K237" s="511"/>
      <c r="L237" s="510"/>
      <c r="M237" s="580"/>
      <c r="N237" s="580"/>
      <c r="O237" s="580"/>
      <c r="P237" s="910"/>
      <c r="Q237" s="910"/>
      <c r="R237" s="910"/>
      <c r="S237" s="910"/>
      <c r="T237" s="910"/>
      <c r="U237" s="910"/>
      <c r="V237" s="910"/>
    </row>
    <row r="238" spans="1:22" x14ac:dyDescent="0.25">
      <c r="A238" s="772"/>
      <c r="B238" s="767" t="str">
        <f t="shared" si="6"/>
        <v xml:space="preserve"> </v>
      </c>
      <c r="C238" s="768" t="str">
        <f t="shared" si="7"/>
        <v xml:space="preserve"> </v>
      </c>
      <c r="D238" s="486"/>
      <c r="E238" s="308" cm="1">
        <f t="array" ref="E238">_xlfn.XLOOKUP(A238&amp;D238, $A$562:$J$562&amp;$A$563:$J$563, $A$564:$J$564, " ")</f>
        <v>0</v>
      </c>
      <c r="F238" s="872" cm="1">
        <f t="array" ref="F238">_xlfn.XLOOKUP(A238&amp;D238, $A$562:$J$562&amp;$A$563:$J$563, $A$565:$J$565, " ")</f>
        <v>0</v>
      </c>
      <c r="G238" s="510"/>
      <c r="H238" s="840"/>
      <c r="I238" s="510"/>
      <c r="J238" s="510"/>
      <c r="K238" s="511"/>
      <c r="L238" s="510"/>
      <c r="M238" s="580"/>
      <c r="N238" s="580"/>
      <c r="O238" s="580"/>
      <c r="P238" s="910"/>
      <c r="Q238" s="910"/>
      <c r="R238" s="910"/>
      <c r="S238" s="910"/>
      <c r="T238" s="910"/>
      <c r="U238" s="910"/>
      <c r="V238" s="910"/>
    </row>
    <row r="239" spans="1:22" x14ac:dyDescent="0.25">
      <c r="A239" s="772"/>
      <c r="B239" s="767" t="str">
        <f t="shared" si="6"/>
        <v xml:space="preserve"> </v>
      </c>
      <c r="C239" s="768" t="str">
        <f t="shared" si="7"/>
        <v xml:space="preserve"> </v>
      </c>
      <c r="D239" s="486"/>
      <c r="E239" s="308" cm="1">
        <f t="array" ref="E239">_xlfn.XLOOKUP(A239&amp;D239, $A$562:$J$562&amp;$A$563:$J$563, $A$564:$J$564, " ")</f>
        <v>0</v>
      </c>
      <c r="F239" s="872" cm="1">
        <f t="array" ref="F239">_xlfn.XLOOKUP(A239&amp;D239, $A$562:$J$562&amp;$A$563:$J$563, $A$565:$J$565, " ")</f>
        <v>0</v>
      </c>
      <c r="G239" s="510"/>
      <c r="H239" s="840"/>
      <c r="I239" s="510"/>
      <c r="J239" s="510"/>
      <c r="K239" s="511"/>
      <c r="L239" s="510"/>
      <c r="M239" s="580"/>
      <c r="N239" s="580"/>
      <c r="O239" s="580"/>
      <c r="P239" s="910"/>
      <c r="Q239" s="910"/>
      <c r="R239" s="910"/>
      <c r="S239" s="910"/>
      <c r="T239" s="910"/>
      <c r="U239" s="910"/>
      <c r="V239" s="910"/>
    </row>
    <row r="240" spans="1:22" x14ac:dyDescent="0.25">
      <c r="A240" s="772"/>
      <c r="B240" s="767" t="str">
        <f t="shared" si="6"/>
        <v xml:space="preserve"> </v>
      </c>
      <c r="C240" s="768" t="str">
        <f t="shared" si="7"/>
        <v xml:space="preserve"> </v>
      </c>
      <c r="D240" s="486"/>
      <c r="E240" s="308" cm="1">
        <f t="array" ref="E240">_xlfn.XLOOKUP(A240&amp;D240, $A$562:$J$562&amp;$A$563:$J$563, $A$564:$J$564, " ")</f>
        <v>0</v>
      </c>
      <c r="F240" s="872" cm="1">
        <f t="array" ref="F240">_xlfn.XLOOKUP(A240&amp;D240, $A$562:$J$562&amp;$A$563:$J$563, $A$565:$J$565, " ")</f>
        <v>0</v>
      </c>
      <c r="G240" s="510"/>
      <c r="H240" s="840"/>
      <c r="I240" s="510"/>
      <c r="J240" s="510"/>
      <c r="K240" s="511"/>
      <c r="L240" s="510"/>
      <c r="M240" s="580"/>
      <c r="N240" s="580"/>
      <c r="O240" s="580"/>
      <c r="P240" s="910"/>
      <c r="Q240" s="910"/>
      <c r="R240" s="910"/>
      <c r="S240" s="910"/>
      <c r="T240" s="910"/>
      <c r="U240" s="910"/>
      <c r="V240" s="910"/>
    </row>
    <row r="241" spans="1:22" x14ac:dyDescent="0.25">
      <c r="A241" s="772"/>
      <c r="B241" s="767" t="str">
        <f t="shared" si="6"/>
        <v xml:space="preserve"> </v>
      </c>
      <c r="C241" s="768" t="str">
        <f t="shared" si="7"/>
        <v xml:space="preserve"> </v>
      </c>
      <c r="D241" s="486"/>
      <c r="E241" s="308" cm="1">
        <f t="array" ref="E241">_xlfn.XLOOKUP(A241&amp;D241, $A$562:$J$562&amp;$A$563:$J$563, $A$564:$J$564, " ")</f>
        <v>0</v>
      </c>
      <c r="F241" s="872" cm="1">
        <f t="array" ref="F241">_xlfn.XLOOKUP(A241&amp;D241, $A$562:$J$562&amp;$A$563:$J$563, $A$565:$J$565, " ")</f>
        <v>0</v>
      </c>
      <c r="G241" s="510"/>
      <c r="H241" s="840"/>
      <c r="I241" s="510"/>
      <c r="J241" s="510"/>
      <c r="K241" s="511"/>
      <c r="L241" s="510"/>
      <c r="M241" s="580"/>
      <c r="N241" s="580"/>
      <c r="O241" s="580"/>
      <c r="P241" s="910"/>
      <c r="Q241" s="910"/>
      <c r="R241" s="910"/>
      <c r="S241" s="910"/>
      <c r="T241" s="910"/>
      <c r="U241" s="910"/>
      <c r="V241" s="910"/>
    </row>
    <row r="242" spans="1:22" x14ac:dyDescent="0.25">
      <c r="A242" s="772"/>
      <c r="B242" s="767" t="str">
        <f t="shared" si="6"/>
        <v xml:space="preserve"> </v>
      </c>
      <c r="C242" s="768" t="str">
        <f t="shared" si="7"/>
        <v xml:space="preserve"> </v>
      </c>
      <c r="D242" s="486"/>
      <c r="E242" s="308" cm="1">
        <f t="array" ref="E242">_xlfn.XLOOKUP(A242&amp;D242, $A$562:$J$562&amp;$A$563:$J$563, $A$564:$J$564, " ")</f>
        <v>0</v>
      </c>
      <c r="F242" s="872" cm="1">
        <f t="array" ref="F242">_xlfn.XLOOKUP(A242&amp;D242, $A$562:$J$562&amp;$A$563:$J$563, $A$565:$J$565, " ")</f>
        <v>0</v>
      </c>
      <c r="G242" s="510"/>
      <c r="H242" s="840"/>
      <c r="I242" s="510"/>
      <c r="J242" s="510"/>
      <c r="K242" s="511"/>
      <c r="L242" s="510"/>
      <c r="M242" s="580"/>
      <c r="N242" s="580"/>
      <c r="O242" s="580"/>
      <c r="P242" s="910"/>
      <c r="Q242" s="910"/>
      <c r="R242" s="910"/>
      <c r="S242" s="910"/>
      <c r="T242" s="910"/>
      <c r="U242" s="910"/>
      <c r="V242" s="910"/>
    </row>
    <row r="243" spans="1:22" x14ac:dyDescent="0.25">
      <c r="A243" s="772"/>
      <c r="B243" s="767" t="str">
        <f t="shared" si="6"/>
        <v xml:space="preserve"> </v>
      </c>
      <c r="C243" s="768" t="str">
        <f t="shared" si="7"/>
        <v xml:space="preserve"> </v>
      </c>
      <c r="D243" s="486"/>
      <c r="E243" s="308" cm="1">
        <f t="array" ref="E243">_xlfn.XLOOKUP(A243&amp;D243, $A$562:$J$562&amp;$A$563:$J$563, $A$564:$J$564, " ")</f>
        <v>0</v>
      </c>
      <c r="F243" s="872" cm="1">
        <f t="array" ref="F243">_xlfn.XLOOKUP(A243&amp;D243, $A$562:$J$562&amp;$A$563:$J$563, $A$565:$J$565, " ")</f>
        <v>0</v>
      </c>
      <c r="G243" s="510"/>
      <c r="H243" s="840"/>
      <c r="I243" s="510"/>
      <c r="J243" s="510"/>
      <c r="K243" s="511"/>
      <c r="L243" s="510"/>
      <c r="M243" s="580"/>
      <c r="N243" s="580"/>
      <c r="O243" s="580"/>
      <c r="P243" s="910"/>
      <c r="Q243" s="910"/>
      <c r="R243" s="910"/>
      <c r="S243" s="910"/>
      <c r="T243" s="910"/>
      <c r="U243" s="910"/>
      <c r="V243" s="910"/>
    </row>
    <row r="244" spans="1:22" x14ac:dyDescent="0.25">
      <c r="A244" s="772"/>
      <c r="B244" s="767" t="str">
        <f t="shared" si="6"/>
        <v xml:space="preserve"> </v>
      </c>
      <c r="C244" s="768" t="str">
        <f t="shared" si="7"/>
        <v xml:space="preserve"> </v>
      </c>
      <c r="D244" s="486"/>
      <c r="E244" s="308" cm="1">
        <f t="array" ref="E244">_xlfn.XLOOKUP(A244&amp;D244, $A$562:$J$562&amp;$A$563:$J$563, $A$564:$J$564, " ")</f>
        <v>0</v>
      </c>
      <c r="F244" s="872" cm="1">
        <f t="array" ref="F244">_xlfn.XLOOKUP(A244&amp;D244, $A$562:$J$562&amp;$A$563:$J$563, $A$565:$J$565, " ")</f>
        <v>0</v>
      </c>
      <c r="G244" s="510"/>
      <c r="H244" s="840"/>
      <c r="I244" s="510"/>
      <c r="J244" s="510"/>
      <c r="K244" s="511"/>
      <c r="L244" s="510"/>
      <c r="M244" s="580"/>
      <c r="N244" s="580"/>
      <c r="O244" s="580"/>
      <c r="P244" s="910"/>
      <c r="Q244" s="910"/>
      <c r="R244" s="910"/>
      <c r="S244" s="910"/>
      <c r="T244" s="910"/>
      <c r="U244" s="910"/>
      <c r="V244" s="910"/>
    </row>
    <row r="245" spans="1:22" x14ac:dyDescent="0.25">
      <c r="A245" s="772"/>
      <c r="B245" s="767" t="str">
        <f t="shared" si="6"/>
        <v xml:space="preserve"> </v>
      </c>
      <c r="C245" s="768" t="str">
        <f t="shared" si="7"/>
        <v xml:space="preserve"> </v>
      </c>
      <c r="D245" s="486"/>
      <c r="E245" s="308" cm="1">
        <f t="array" ref="E245">_xlfn.XLOOKUP(A245&amp;D245, $A$562:$J$562&amp;$A$563:$J$563, $A$564:$J$564, " ")</f>
        <v>0</v>
      </c>
      <c r="F245" s="872" cm="1">
        <f t="array" ref="F245">_xlfn.XLOOKUP(A245&amp;D245, $A$562:$J$562&amp;$A$563:$J$563, $A$565:$J$565, " ")</f>
        <v>0</v>
      </c>
      <c r="G245" s="510"/>
      <c r="H245" s="840"/>
      <c r="I245" s="510"/>
      <c r="J245" s="510"/>
      <c r="K245" s="511"/>
      <c r="L245" s="510"/>
      <c r="M245" s="580"/>
      <c r="N245" s="580"/>
      <c r="O245" s="580"/>
      <c r="P245" s="910"/>
      <c r="Q245" s="910"/>
      <c r="R245" s="910"/>
      <c r="S245" s="910"/>
      <c r="T245" s="910"/>
      <c r="U245" s="910"/>
      <c r="V245" s="910"/>
    </row>
    <row r="246" spans="1:22" x14ac:dyDescent="0.25">
      <c r="A246" s="772"/>
      <c r="B246" s="767" t="str">
        <f t="shared" si="6"/>
        <v xml:space="preserve"> </v>
      </c>
      <c r="C246" s="768" t="str">
        <f t="shared" si="7"/>
        <v xml:space="preserve"> </v>
      </c>
      <c r="D246" s="486"/>
      <c r="E246" s="308" cm="1">
        <f t="array" ref="E246">_xlfn.XLOOKUP(A246&amp;D246, $A$562:$J$562&amp;$A$563:$J$563, $A$564:$J$564, " ")</f>
        <v>0</v>
      </c>
      <c r="F246" s="872" cm="1">
        <f t="array" ref="F246">_xlfn.XLOOKUP(A246&amp;D246, $A$562:$J$562&amp;$A$563:$J$563, $A$565:$J$565, " ")</f>
        <v>0</v>
      </c>
      <c r="G246" s="510"/>
      <c r="H246" s="840"/>
      <c r="I246" s="510"/>
      <c r="J246" s="510"/>
      <c r="K246" s="511"/>
      <c r="L246" s="510"/>
      <c r="M246" s="580"/>
      <c r="N246" s="580"/>
      <c r="O246" s="580"/>
      <c r="P246" s="910"/>
      <c r="Q246" s="910"/>
      <c r="R246" s="910"/>
      <c r="S246" s="910"/>
      <c r="T246" s="910"/>
      <c r="U246" s="910"/>
      <c r="V246" s="910"/>
    </row>
    <row r="247" spans="1:22" x14ac:dyDescent="0.25">
      <c r="A247" s="772"/>
      <c r="B247" s="767" t="str">
        <f t="shared" si="6"/>
        <v xml:space="preserve"> </v>
      </c>
      <c r="C247" s="768" t="str">
        <f t="shared" si="7"/>
        <v xml:space="preserve"> </v>
      </c>
      <c r="D247" s="486"/>
      <c r="E247" s="308" cm="1">
        <f t="array" ref="E247">_xlfn.XLOOKUP(A247&amp;D247, $A$562:$J$562&amp;$A$563:$J$563, $A$564:$J$564, " ")</f>
        <v>0</v>
      </c>
      <c r="F247" s="872" cm="1">
        <f t="array" ref="F247">_xlfn.XLOOKUP(A247&amp;D247, $A$562:$J$562&amp;$A$563:$J$563, $A$565:$J$565, " ")</f>
        <v>0</v>
      </c>
      <c r="G247" s="510"/>
      <c r="H247" s="840"/>
      <c r="I247" s="510"/>
      <c r="J247" s="510"/>
      <c r="K247" s="511"/>
      <c r="L247" s="510"/>
      <c r="M247" s="580"/>
      <c r="N247" s="580"/>
      <c r="O247" s="580"/>
      <c r="P247" s="910"/>
      <c r="Q247" s="910"/>
      <c r="R247" s="910"/>
      <c r="S247" s="910"/>
      <c r="T247" s="910"/>
      <c r="U247" s="910"/>
      <c r="V247" s="910"/>
    </row>
    <row r="248" spans="1:22" x14ac:dyDescent="0.25">
      <c r="A248" s="772"/>
      <c r="B248" s="767" t="str">
        <f t="shared" si="6"/>
        <v xml:space="preserve"> </v>
      </c>
      <c r="C248" s="768" t="str">
        <f t="shared" si="7"/>
        <v xml:space="preserve"> </v>
      </c>
      <c r="D248" s="486"/>
      <c r="E248" s="308" cm="1">
        <f t="array" ref="E248">_xlfn.XLOOKUP(A248&amp;D248, $A$562:$J$562&amp;$A$563:$J$563, $A$564:$J$564, " ")</f>
        <v>0</v>
      </c>
      <c r="F248" s="872" cm="1">
        <f t="array" ref="F248">_xlfn.XLOOKUP(A248&amp;D248, $A$562:$J$562&amp;$A$563:$J$563, $A$565:$J$565, " ")</f>
        <v>0</v>
      </c>
      <c r="G248" s="510"/>
      <c r="H248" s="840"/>
      <c r="I248" s="510"/>
      <c r="J248" s="510"/>
      <c r="K248" s="511"/>
      <c r="L248" s="510"/>
      <c r="M248" s="580"/>
      <c r="N248" s="580"/>
      <c r="O248" s="580"/>
      <c r="P248" s="910"/>
      <c r="Q248" s="910"/>
      <c r="R248" s="910"/>
      <c r="S248" s="910"/>
      <c r="T248" s="910"/>
      <c r="U248" s="910"/>
      <c r="V248" s="910"/>
    </row>
    <row r="249" spans="1:22" x14ac:dyDescent="0.25">
      <c r="A249" s="772"/>
      <c r="B249" s="767" t="str">
        <f t="shared" si="6"/>
        <v xml:space="preserve"> </v>
      </c>
      <c r="C249" s="768" t="str">
        <f t="shared" si="7"/>
        <v xml:space="preserve"> </v>
      </c>
      <c r="D249" s="486"/>
      <c r="E249" s="308" cm="1">
        <f t="array" ref="E249">_xlfn.XLOOKUP(A249&amp;D249, $A$562:$J$562&amp;$A$563:$J$563, $A$564:$J$564, " ")</f>
        <v>0</v>
      </c>
      <c r="F249" s="872" cm="1">
        <f t="array" ref="F249">_xlfn.XLOOKUP(A249&amp;D249, $A$562:$J$562&amp;$A$563:$J$563, $A$565:$J$565, " ")</f>
        <v>0</v>
      </c>
      <c r="G249" s="510"/>
      <c r="H249" s="840"/>
      <c r="I249" s="510"/>
      <c r="J249" s="510"/>
      <c r="K249" s="511"/>
      <c r="L249" s="510"/>
      <c r="M249" s="580"/>
      <c r="N249" s="580"/>
      <c r="O249" s="580"/>
      <c r="P249" s="910"/>
      <c r="Q249" s="910"/>
      <c r="R249" s="910"/>
      <c r="S249" s="910"/>
      <c r="T249" s="910"/>
      <c r="U249" s="910"/>
      <c r="V249" s="910"/>
    </row>
    <row r="250" spans="1:22" x14ac:dyDescent="0.25">
      <c r="A250" s="772"/>
      <c r="B250" s="767" t="str">
        <f t="shared" si="6"/>
        <v xml:space="preserve"> </v>
      </c>
      <c r="C250" s="768" t="str">
        <f t="shared" si="7"/>
        <v xml:space="preserve"> </v>
      </c>
      <c r="D250" s="486"/>
      <c r="E250" s="308" cm="1">
        <f t="array" ref="E250">_xlfn.XLOOKUP(A250&amp;D250, $A$562:$J$562&amp;$A$563:$J$563, $A$564:$J$564, " ")</f>
        <v>0</v>
      </c>
      <c r="F250" s="872" cm="1">
        <f t="array" ref="F250">_xlfn.XLOOKUP(A250&amp;D250, $A$562:$J$562&amp;$A$563:$J$563, $A$565:$J$565, " ")</f>
        <v>0</v>
      </c>
      <c r="G250" s="510"/>
      <c r="H250" s="840"/>
      <c r="I250" s="510"/>
      <c r="J250" s="510"/>
      <c r="K250" s="511"/>
      <c r="L250" s="510"/>
      <c r="M250" s="580"/>
      <c r="N250" s="580"/>
      <c r="O250" s="580"/>
      <c r="P250" s="910"/>
      <c r="Q250" s="910"/>
      <c r="R250" s="910"/>
      <c r="S250" s="910"/>
      <c r="T250" s="910"/>
      <c r="U250" s="910"/>
      <c r="V250" s="910"/>
    </row>
    <row r="251" spans="1:22" x14ac:dyDescent="0.25">
      <c r="A251" s="772"/>
      <c r="B251" s="767" t="str">
        <f t="shared" si="6"/>
        <v xml:space="preserve"> </v>
      </c>
      <c r="C251" s="768" t="str">
        <f t="shared" si="7"/>
        <v xml:space="preserve"> </v>
      </c>
      <c r="D251" s="486"/>
      <c r="E251" s="308" cm="1">
        <f t="array" ref="E251">_xlfn.XLOOKUP(A251&amp;D251, $A$562:$J$562&amp;$A$563:$J$563, $A$564:$J$564, " ")</f>
        <v>0</v>
      </c>
      <c r="F251" s="872" cm="1">
        <f t="array" ref="F251">_xlfn.XLOOKUP(A251&amp;D251, $A$562:$J$562&amp;$A$563:$J$563, $A$565:$J$565, " ")</f>
        <v>0</v>
      </c>
      <c r="G251" s="510"/>
      <c r="H251" s="840"/>
      <c r="I251" s="510"/>
      <c r="J251" s="510"/>
      <c r="K251" s="511"/>
      <c r="L251" s="510"/>
      <c r="M251" s="580"/>
      <c r="N251" s="580"/>
      <c r="O251" s="580"/>
      <c r="P251" s="910"/>
      <c r="Q251" s="910"/>
      <c r="R251" s="910"/>
      <c r="S251" s="910"/>
      <c r="T251" s="910"/>
      <c r="U251" s="910"/>
      <c r="V251" s="910"/>
    </row>
    <row r="252" spans="1:22" x14ac:dyDescent="0.25">
      <c r="A252" s="772"/>
      <c r="B252" s="767" t="str">
        <f t="shared" si="6"/>
        <v xml:space="preserve"> </v>
      </c>
      <c r="C252" s="768" t="str">
        <f t="shared" si="7"/>
        <v xml:space="preserve"> </v>
      </c>
      <c r="D252" s="486"/>
      <c r="E252" s="308" cm="1">
        <f t="array" ref="E252">_xlfn.XLOOKUP(A252&amp;D252, $A$562:$J$562&amp;$A$563:$J$563, $A$564:$J$564, " ")</f>
        <v>0</v>
      </c>
      <c r="F252" s="872" cm="1">
        <f t="array" ref="F252">_xlfn.XLOOKUP(A252&amp;D252, $A$562:$J$562&amp;$A$563:$J$563, $A$565:$J$565, " ")</f>
        <v>0</v>
      </c>
      <c r="G252" s="510"/>
      <c r="H252" s="840"/>
      <c r="I252" s="510"/>
      <c r="J252" s="510"/>
      <c r="K252" s="511"/>
      <c r="L252" s="510"/>
      <c r="M252" s="580"/>
      <c r="N252" s="580"/>
      <c r="O252" s="580"/>
      <c r="P252" s="910"/>
      <c r="Q252" s="910"/>
      <c r="R252" s="910"/>
      <c r="S252" s="910"/>
      <c r="T252" s="910"/>
      <c r="U252" s="910"/>
      <c r="V252" s="910"/>
    </row>
    <row r="253" spans="1:22" x14ac:dyDescent="0.25">
      <c r="A253" s="772"/>
      <c r="B253" s="767" t="str">
        <f t="shared" si="6"/>
        <v xml:space="preserve"> </v>
      </c>
      <c r="C253" s="768" t="str">
        <f t="shared" si="7"/>
        <v xml:space="preserve"> </v>
      </c>
      <c r="D253" s="486"/>
      <c r="E253" s="308" cm="1">
        <f t="array" ref="E253">_xlfn.XLOOKUP(A253&amp;D253, $A$562:$J$562&amp;$A$563:$J$563, $A$564:$J$564, " ")</f>
        <v>0</v>
      </c>
      <c r="F253" s="872" cm="1">
        <f t="array" ref="F253">_xlfn.XLOOKUP(A253&amp;D253, $A$562:$J$562&amp;$A$563:$J$563, $A$565:$J$565, " ")</f>
        <v>0</v>
      </c>
      <c r="G253" s="510"/>
      <c r="H253" s="840"/>
      <c r="I253" s="510"/>
      <c r="J253" s="510"/>
      <c r="K253" s="511"/>
      <c r="L253" s="510"/>
      <c r="M253" s="580"/>
      <c r="N253" s="580"/>
      <c r="O253" s="580"/>
      <c r="P253" s="910"/>
      <c r="Q253" s="910"/>
      <c r="R253" s="910"/>
      <c r="S253" s="910"/>
      <c r="T253" s="910"/>
      <c r="U253" s="910"/>
      <c r="V253" s="910"/>
    </row>
    <row r="254" spans="1:22" x14ac:dyDescent="0.25">
      <c r="A254" s="772"/>
      <c r="B254" s="767" t="str">
        <f t="shared" si="6"/>
        <v xml:space="preserve"> </v>
      </c>
      <c r="C254" s="768" t="str">
        <f t="shared" si="7"/>
        <v xml:space="preserve"> </v>
      </c>
      <c r="D254" s="486"/>
      <c r="E254" s="308" cm="1">
        <f t="array" ref="E254">_xlfn.XLOOKUP(A254&amp;D254, $A$562:$J$562&amp;$A$563:$J$563, $A$564:$J$564, " ")</f>
        <v>0</v>
      </c>
      <c r="F254" s="872" cm="1">
        <f t="array" ref="F254">_xlfn.XLOOKUP(A254&amp;D254, $A$562:$J$562&amp;$A$563:$J$563, $A$565:$J$565, " ")</f>
        <v>0</v>
      </c>
      <c r="G254" s="510"/>
      <c r="H254" s="840"/>
      <c r="I254" s="510"/>
      <c r="J254" s="510"/>
      <c r="K254" s="511"/>
      <c r="L254" s="510"/>
      <c r="M254" s="580"/>
      <c r="N254" s="580"/>
      <c r="O254" s="580"/>
      <c r="P254" s="910"/>
      <c r="Q254" s="910"/>
      <c r="R254" s="910"/>
      <c r="S254" s="910"/>
      <c r="T254" s="910"/>
      <c r="U254" s="910"/>
      <c r="V254" s="910"/>
    </row>
    <row r="255" spans="1:22" x14ac:dyDescent="0.25">
      <c r="A255" s="772"/>
      <c r="B255" s="767" t="str">
        <f t="shared" si="6"/>
        <v xml:space="preserve"> </v>
      </c>
      <c r="C255" s="768" t="str">
        <f t="shared" si="7"/>
        <v xml:space="preserve"> </v>
      </c>
      <c r="D255" s="486"/>
      <c r="E255" s="308" cm="1">
        <f t="array" ref="E255">_xlfn.XLOOKUP(A255&amp;D255, $A$562:$J$562&amp;$A$563:$J$563, $A$564:$J$564, " ")</f>
        <v>0</v>
      </c>
      <c r="F255" s="872" cm="1">
        <f t="array" ref="F255">_xlfn.XLOOKUP(A255&amp;D255, $A$562:$J$562&amp;$A$563:$J$563, $A$565:$J$565, " ")</f>
        <v>0</v>
      </c>
      <c r="G255" s="510"/>
      <c r="H255" s="840"/>
      <c r="I255" s="510"/>
      <c r="J255" s="510"/>
      <c r="K255" s="511"/>
      <c r="L255" s="510"/>
      <c r="M255" s="580"/>
      <c r="N255" s="580"/>
      <c r="O255" s="580"/>
      <c r="P255" s="910"/>
      <c r="Q255" s="910"/>
      <c r="R255" s="910"/>
      <c r="S255" s="910"/>
      <c r="T255" s="910"/>
      <c r="U255" s="910"/>
      <c r="V255" s="910"/>
    </row>
    <row r="256" spans="1:22" x14ac:dyDescent="0.25">
      <c r="A256" s="772"/>
      <c r="B256" s="767" t="str">
        <f t="shared" si="6"/>
        <v xml:space="preserve"> </v>
      </c>
      <c r="C256" s="768" t="str">
        <f t="shared" si="7"/>
        <v xml:space="preserve"> </v>
      </c>
      <c r="D256" s="486"/>
      <c r="E256" s="308" cm="1">
        <f t="array" ref="E256">_xlfn.XLOOKUP(A256&amp;D256, $A$562:$J$562&amp;$A$563:$J$563, $A$564:$J$564, " ")</f>
        <v>0</v>
      </c>
      <c r="F256" s="872" cm="1">
        <f t="array" ref="F256">_xlfn.XLOOKUP(A256&amp;D256, $A$562:$J$562&amp;$A$563:$J$563, $A$565:$J$565, " ")</f>
        <v>0</v>
      </c>
      <c r="G256" s="510"/>
      <c r="H256" s="840"/>
      <c r="I256" s="510"/>
      <c r="J256" s="510"/>
      <c r="K256" s="511"/>
      <c r="L256" s="510"/>
      <c r="M256" s="580"/>
      <c r="N256" s="580"/>
      <c r="O256" s="580"/>
      <c r="P256" s="910"/>
      <c r="Q256" s="910"/>
      <c r="R256" s="910"/>
      <c r="S256" s="910"/>
      <c r="T256" s="910"/>
      <c r="U256" s="910"/>
      <c r="V256" s="910"/>
    </row>
    <row r="257" spans="1:22" x14ac:dyDescent="0.25">
      <c r="A257" s="772"/>
      <c r="B257" s="767" t="str">
        <f t="shared" si="6"/>
        <v xml:space="preserve"> </v>
      </c>
      <c r="C257" s="768" t="str">
        <f t="shared" si="7"/>
        <v xml:space="preserve"> </v>
      </c>
      <c r="D257" s="486"/>
      <c r="E257" s="308" cm="1">
        <f t="array" ref="E257">_xlfn.XLOOKUP(A257&amp;D257, $A$562:$J$562&amp;$A$563:$J$563, $A$564:$J$564, " ")</f>
        <v>0</v>
      </c>
      <c r="F257" s="872" cm="1">
        <f t="array" ref="F257">_xlfn.XLOOKUP(A257&amp;D257, $A$562:$J$562&amp;$A$563:$J$563, $A$565:$J$565, " ")</f>
        <v>0</v>
      </c>
      <c r="G257" s="510"/>
      <c r="H257" s="840"/>
      <c r="I257" s="510"/>
      <c r="J257" s="510"/>
      <c r="K257" s="511"/>
      <c r="L257" s="510"/>
      <c r="M257" s="580"/>
      <c r="N257" s="580"/>
      <c r="O257" s="580"/>
      <c r="P257" s="910"/>
      <c r="Q257" s="910"/>
      <c r="R257" s="910"/>
      <c r="S257" s="910"/>
      <c r="T257" s="910"/>
      <c r="U257" s="910"/>
      <c r="V257" s="910"/>
    </row>
    <row r="258" spans="1:22" x14ac:dyDescent="0.25">
      <c r="A258" s="772"/>
      <c r="B258" s="767" t="str">
        <f t="shared" si="6"/>
        <v xml:space="preserve"> </v>
      </c>
      <c r="C258" s="768" t="str">
        <f t="shared" si="7"/>
        <v xml:space="preserve"> </v>
      </c>
      <c r="D258" s="486"/>
      <c r="E258" s="308" cm="1">
        <f t="array" ref="E258">_xlfn.XLOOKUP(A258&amp;D258, $A$562:$J$562&amp;$A$563:$J$563, $A$564:$J$564, " ")</f>
        <v>0</v>
      </c>
      <c r="F258" s="872" cm="1">
        <f t="array" ref="F258">_xlfn.XLOOKUP(A258&amp;D258, $A$562:$J$562&amp;$A$563:$J$563, $A$565:$J$565, " ")</f>
        <v>0</v>
      </c>
      <c r="G258" s="510"/>
      <c r="H258" s="840"/>
      <c r="I258" s="510"/>
      <c r="J258" s="510"/>
      <c r="K258" s="511"/>
      <c r="L258" s="510"/>
      <c r="M258" s="580"/>
      <c r="N258" s="580"/>
      <c r="O258" s="580"/>
      <c r="P258" s="910"/>
      <c r="Q258" s="910"/>
      <c r="R258" s="910"/>
      <c r="S258" s="910"/>
      <c r="T258" s="910"/>
      <c r="U258" s="910"/>
      <c r="V258" s="910"/>
    </row>
    <row r="259" spans="1:22" x14ac:dyDescent="0.25">
      <c r="A259" s="772"/>
      <c r="B259" s="767" t="str">
        <f t="shared" si="6"/>
        <v xml:space="preserve"> </v>
      </c>
      <c r="C259" s="768" t="str">
        <f t="shared" si="7"/>
        <v xml:space="preserve"> </v>
      </c>
      <c r="D259" s="486"/>
      <c r="E259" s="308" cm="1">
        <f t="array" ref="E259">_xlfn.XLOOKUP(A259&amp;D259, $A$562:$J$562&amp;$A$563:$J$563, $A$564:$J$564, " ")</f>
        <v>0</v>
      </c>
      <c r="F259" s="872" cm="1">
        <f t="array" ref="F259">_xlfn.XLOOKUP(A259&amp;D259, $A$562:$J$562&amp;$A$563:$J$563, $A$565:$J$565, " ")</f>
        <v>0</v>
      </c>
      <c r="G259" s="510"/>
      <c r="H259" s="840"/>
      <c r="I259" s="510"/>
      <c r="J259" s="510"/>
      <c r="K259" s="511"/>
      <c r="L259" s="510"/>
      <c r="M259" s="580"/>
      <c r="N259" s="580"/>
      <c r="O259" s="580"/>
      <c r="P259" s="910"/>
      <c r="Q259" s="910"/>
      <c r="R259" s="910"/>
      <c r="S259" s="910"/>
      <c r="T259" s="910"/>
      <c r="U259" s="910"/>
      <c r="V259" s="910"/>
    </row>
    <row r="260" spans="1:22" x14ac:dyDescent="0.25">
      <c r="A260" s="772"/>
      <c r="B260" s="767" t="str">
        <f t="shared" si="6"/>
        <v xml:space="preserve"> </v>
      </c>
      <c r="C260" s="768" t="str">
        <f t="shared" si="7"/>
        <v xml:space="preserve"> </v>
      </c>
      <c r="D260" s="486"/>
      <c r="E260" s="308" cm="1">
        <f t="array" ref="E260">_xlfn.XLOOKUP(A260&amp;D260, $A$562:$J$562&amp;$A$563:$J$563, $A$564:$J$564, " ")</f>
        <v>0</v>
      </c>
      <c r="F260" s="872" cm="1">
        <f t="array" ref="F260">_xlfn.XLOOKUP(A260&amp;D260, $A$562:$J$562&amp;$A$563:$J$563, $A$565:$J$565, " ")</f>
        <v>0</v>
      </c>
      <c r="G260" s="510"/>
      <c r="H260" s="840"/>
      <c r="I260" s="510"/>
      <c r="J260" s="510"/>
      <c r="K260" s="511"/>
      <c r="L260" s="510"/>
      <c r="M260" s="580"/>
      <c r="N260" s="580"/>
      <c r="O260" s="580"/>
      <c r="P260" s="910"/>
      <c r="Q260" s="910"/>
      <c r="R260" s="910"/>
      <c r="S260" s="910"/>
      <c r="T260" s="910"/>
      <c r="U260" s="910"/>
      <c r="V260" s="910"/>
    </row>
    <row r="261" spans="1:22" x14ac:dyDescent="0.25">
      <c r="A261" s="772"/>
      <c r="B261" s="767" t="str">
        <f t="shared" si="6"/>
        <v xml:space="preserve"> </v>
      </c>
      <c r="C261" s="768" t="str">
        <f t="shared" si="7"/>
        <v xml:space="preserve"> </v>
      </c>
      <c r="D261" s="486"/>
      <c r="E261" s="308" cm="1">
        <f t="array" ref="E261">_xlfn.XLOOKUP(A261&amp;D261, $A$562:$J$562&amp;$A$563:$J$563, $A$564:$J$564, " ")</f>
        <v>0</v>
      </c>
      <c r="F261" s="872" cm="1">
        <f t="array" ref="F261">_xlfn.XLOOKUP(A261&amp;D261, $A$562:$J$562&amp;$A$563:$J$563, $A$565:$J$565, " ")</f>
        <v>0</v>
      </c>
      <c r="G261" s="510"/>
      <c r="H261" s="840"/>
      <c r="I261" s="510"/>
      <c r="J261" s="510"/>
      <c r="K261" s="511"/>
      <c r="L261" s="510"/>
      <c r="M261" s="580"/>
      <c r="N261" s="580"/>
      <c r="O261" s="580"/>
      <c r="P261" s="910"/>
      <c r="Q261" s="910"/>
      <c r="R261" s="910"/>
      <c r="S261" s="910"/>
      <c r="T261" s="910"/>
      <c r="U261" s="910"/>
      <c r="V261" s="910"/>
    </row>
    <row r="262" spans="1:22" x14ac:dyDescent="0.25">
      <c r="A262" s="772"/>
      <c r="B262" s="767" t="str">
        <f t="shared" si="6"/>
        <v xml:space="preserve"> </v>
      </c>
      <c r="C262" s="768" t="str">
        <f t="shared" si="7"/>
        <v xml:space="preserve"> </v>
      </c>
      <c r="D262" s="486"/>
      <c r="E262" s="308" cm="1">
        <f t="array" ref="E262">_xlfn.XLOOKUP(A262&amp;D262, $A$562:$J$562&amp;$A$563:$J$563, $A$564:$J$564, " ")</f>
        <v>0</v>
      </c>
      <c r="F262" s="872" cm="1">
        <f t="array" ref="F262">_xlfn.XLOOKUP(A262&amp;D262, $A$562:$J$562&amp;$A$563:$J$563, $A$565:$J$565, " ")</f>
        <v>0</v>
      </c>
      <c r="G262" s="510"/>
      <c r="H262" s="840"/>
      <c r="I262" s="510"/>
      <c r="J262" s="510"/>
      <c r="K262" s="511"/>
      <c r="L262" s="510"/>
      <c r="M262" s="580"/>
      <c r="N262" s="580"/>
      <c r="O262" s="580"/>
      <c r="P262" s="910"/>
      <c r="Q262" s="910"/>
      <c r="R262" s="910"/>
      <c r="S262" s="910"/>
      <c r="T262" s="910"/>
      <c r="U262" s="910"/>
      <c r="V262" s="910"/>
    </row>
    <row r="263" spans="1:22" x14ac:dyDescent="0.25">
      <c r="A263" s="772"/>
      <c r="B263" s="767" t="str">
        <f t="shared" si="6"/>
        <v xml:space="preserve"> </v>
      </c>
      <c r="C263" s="768" t="str">
        <f t="shared" si="7"/>
        <v xml:space="preserve"> </v>
      </c>
      <c r="D263" s="486"/>
      <c r="E263" s="308" cm="1">
        <f t="array" ref="E263">_xlfn.XLOOKUP(A263&amp;D263, $A$562:$J$562&amp;$A$563:$J$563, $A$564:$J$564, " ")</f>
        <v>0</v>
      </c>
      <c r="F263" s="872" cm="1">
        <f t="array" ref="F263">_xlfn.XLOOKUP(A263&amp;D263, $A$562:$J$562&amp;$A$563:$J$563, $A$565:$J$565, " ")</f>
        <v>0</v>
      </c>
      <c r="G263" s="510"/>
      <c r="H263" s="840"/>
      <c r="I263" s="510"/>
      <c r="J263" s="510"/>
      <c r="K263" s="511"/>
      <c r="L263" s="510"/>
      <c r="M263" s="580"/>
      <c r="N263" s="580"/>
      <c r="O263" s="580"/>
      <c r="P263" s="910"/>
      <c r="Q263" s="910"/>
      <c r="R263" s="910"/>
      <c r="S263" s="910"/>
      <c r="T263" s="910"/>
      <c r="U263" s="910"/>
      <c r="V263" s="910"/>
    </row>
    <row r="264" spans="1:22" x14ac:dyDescent="0.25">
      <c r="A264" s="772"/>
      <c r="B264" s="767" t="str">
        <f t="shared" si="6"/>
        <v xml:space="preserve"> </v>
      </c>
      <c r="C264" s="768" t="str">
        <f t="shared" si="7"/>
        <v xml:space="preserve"> </v>
      </c>
      <c r="D264" s="486"/>
      <c r="E264" s="308" cm="1">
        <f t="array" ref="E264">_xlfn.XLOOKUP(A264&amp;D264, $A$562:$J$562&amp;$A$563:$J$563, $A$564:$J$564, " ")</f>
        <v>0</v>
      </c>
      <c r="F264" s="872" cm="1">
        <f t="array" ref="F264">_xlfn.XLOOKUP(A264&amp;D264, $A$562:$J$562&amp;$A$563:$J$563, $A$565:$J$565, " ")</f>
        <v>0</v>
      </c>
      <c r="G264" s="510"/>
      <c r="H264" s="840"/>
      <c r="I264" s="510"/>
      <c r="J264" s="510"/>
      <c r="K264" s="511"/>
      <c r="L264" s="510"/>
      <c r="M264" s="580"/>
      <c r="N264" s="580"/>
      <c r="O264" s="580"/>
      <c r="P264" s="910"/>
      <c r="Q264" s="910"/>
      <c r="R264" s="910"/>
      <c r="S264" s="910"/>
      <c r="T264" s="910"/>
      <c r="U264" s="910"/>
      <c r="V264" s="910"/>
    </row>
    <row r="265" spans="1:22" x14ac:dyDescent="0.25">
      <c r="A265" s="772"/>
      <c r="B265" s="767" t="str">
        <f t="shared" si="6"/>
        <v xml:space="preserve"> </v>
      </c>
      <c r="C265" s="768" t="str">
        <f t="shared" si="7"/>
        <v xml:space="preserve"> </v>
      </c>
      <c r="D265" s="486"/>
      <c r="E265" s="308" cm="1">
        <f t="array" ref="E265">_xlfn.XLOOKUP(A265&amp;D265, $A$562:$J$562&amp;$A$563:$J$563, $A$564:$J$564, " ")</f>
        <v>0</v>
      </c>
      <c r="F265" s="872" cm="1">
        <f t="array" ref="F265">_xlfn.XLOOKUP(A265&amp;D265, $A$562:$J$562&amp;$A$563:$J$563, $A$565:$J$565, " ")</f>
        <v>0</v>
      </c>
      <c r="G265" s="510"/>
      <c r="H265" s="840"/>
      <c r="I265" s="510"/>
      <c r="J265" s="510"/>
      <c r="K265" s="511"/>
      <c r="L265" s="510"/>
      <c r="M265" s="580"/>
      <c r="N265" s="580"/>
      <c r="O265" s="580"/>
      <c r="P265" s="910"/>
      <c r="Q265" s="910"/>
      <c r="R265" s="910"/>
      <c r="S265" s="910"/>
      <c r="T265" s="910"/>
      <c r="U265" s="910"/>
      <c r="V265" s="910"/>
    </row>
    <row r="266" spans="1:22" x14ac:dyDescent="0.25">
      <c r="A266" s="772"/>
      <c r="B266" s="767" t="str">
        <f t="shared" si="6"/>
        <v xml:space="preserve"> </v>
      </c>
      <c r="C266" s="768" t="str">
        <f t="shared" si="7"/>
        <v xml:space="preserve"> </v>
      </c>
      <c r="D266" s="486"/>
      <c r="E266" s="308" cm="1">
        <f t="array" ref="E266">_xlfn.XLOOKUP(A266&amp;D266, $A$562:$J$562&amp;$A$563:$J$563, $A$564:$J$564, " ")</f>
        <v>0</v>
      </c>
      <c r="F266" s="872" cm="1">
        <f t="array" ref="F266">_xlfn.XLOOKUP(A266&amp;D266, $A$562:$J$562&amp;$A$563:$J$563, $A$565:$J$565, " ")</f>
        <v>0</v>
      </c>
      <c r="G266" s="510"/>
      <c r="H266" s="840"/>
      <c r="I266" s="510"/>
      <c r="J266" s="510"/>
      <c r="K266" s="511"/>
      <c r="L266" s="510"/>
      <c r="M266" s="580"/>
      <c r="N266" s="580"/>
      <c r="O266" s="580"/>
      <c r="P266" s="910"/>
      <c r="Q266" s="910"/>
      <c r="R266" s="910"/>
      <c r="S266" s="910"/>
      <c r="T266" s="910"/>
      <c r="U266" s="910"/>
      <c r="V266" s="910"/>
    </row>
    <row r="267" spans="1:22" x14ac:dyDescent="0.25">
      <c r="A267" s="772"/>
      <c r="B267" s="767" t="str">
        <f t="shared" ref="B267:B330" si="8">IF(ISBLANK(A267), " ", _xlfn.XLOOKUP(A267,$A$552:$C$552,$A$553:$C$553))</f>
        <v xml:space="preserve"> </v>
      </c>
      <c r="C267" s="768" t="str">
        <f t="shared" ref="C267:C330" si="9">IF(ISBLANK(A267), " ", _xlfn.XLOOKUP(A267,$A$552:$C$552,$A$554:$C$554))</f>
        <v xml:space="preserve"> </v>
      </c>
      <c r="D267" s="486"/>
      <c r="E267" s="308" cm="1">
        <f t="array" ref="E267">_xlfn.XLOOKUP(A267&amp;D267, $A$562:$J$562&amp;$A$563:$J$563, $A$564:$J$564, " ")</f>
        <v>0</v>
      </c>
      <c r="F267" s="872" cm="1">
        <f t="array" ref="F267">_xlfn.XLOOKUP(A267&amp;D267, $A$562:$J$562&amp;$A$563:$J$563, $A$565:$J$565, " ")</f>
        <v>0</v>
      </c>
      <c r="G267" s="510"/>
      <c r="H267" s="840"/>
      <c r="I267" s="510"/>
      <c r="J267" s="510"/>
      <c r="K267" s="511"/>
      <c r="L267" s="510"/>
      <c r="M267" s="580"/>
      <c r="N267" s="580"/>
      <c r="O267" s="580"/>
      <c r="P267" s="910"/>
      <c r="Q267" s="910"/>
      <c r="R267" s="910"/>
      <c r="S267" s="910"/>
      <c r="T267" s="910"/>
      <c r="U267" s="910"/>
      <c r="V267" s="910"/>
    </row>
    <row r="268" spans="1:22" x14ac:dyDescent="0.25">
      <c r="A268" s="772"/>
      <c r="B268" s="767" t="str">
        <f t="shared" si="8"/>
        <v xml:space="preserve"> </v>
      </c>
      <c r="C268" s="768" t="str">
        <f t="shared" si="9"/>
        <v xml:space="preserve"> </v>
      </c>
      <c r="D268" s="486"/>
      <c r="E268" s="308" cm="1">
        <f t="array" ref="E268">_xlfn.XLOOKUP(A268&amp;D268, $A$562:$J$562&amp;$A$563:$J$563, $A$564:$J$564, " ")</f>
        <v>0</v>
      </c>
      <c r="F268" s="872" cm="1">
        <f t="array" ref="F268">_xlfn.XLOOKUP(A268&amp;D268, $A$562:$J$562&amp;$A$563:$J$563, $A$565:$J$565, " ")</f>
        <v>0</v>
      </c>
      <c r="G268" s="510"/>
      <c r="H268" s="840"/>
      <c r="I268" s="510"/>
      <c r="J268" s="510"/>
      <c r="K268" s="511"/>
      <c r="L268" s="510"/>
      <c r="M268" s="580"/>
      <c r="N268" s="580"/>
      <c r="O268" s="580"/>
      <c r="P268" s="910"/>
      <c r="Q268" s="910"/>
      <c r="R268" s="910"/>
      <c r="S268" s="910"/>
      <c r="T268" s="910"/>
      <c r="U268" s="910"/>
      <c r="V268" s="910"/>
    </row>
    <row r="269" spans="1:22" x14ac:dyDescent="0.25">
      <c r="A269" s="772"/>
      <c r="B269" s="767" t="str">
        <f t="shared" si="8"/>
        <v xml:space="preserve"> </v>
      </c>
      <c r="C269" s="768" t="str">
        <f t="shared" si="9"/>
        <v xml:space="preserve"> </v>
      </c>
      <c r="D269" s="486"/>
      <c r="E269" s="308" cm="1">
        <f t="array" ref="E269">_xlfn.XLOOKUP(A269&amp;D269, $A$562:$J$562&amp;$A$563:$J$563, $A$564:$J$564, " ")</f>
        <v>0</v>
      </c>
      <c r="F269" s="872" cm="1">
        <f t="array" ref="F269">_xlfn.XLOOKUP(A269&amp;D269, $A$562:$J$562&amp;$A$563:$J$563, $A$565:$J$565, " ")</f>
        <v>0</v>
      </c>
      <c r="G269" s="510"/>
      <c r="H269" s="840"/>
      <c r="I269" s="510"/>
      <c r="J269" s="510"/>
      <c r="K269" s="511"/>
      <c r="L269" s="510"/>
      <c r="M269" s="580"/>
      <c r="N269" s="580"/>
      <c r="O269" s="580"/>
      <c r="P269" s="910"/>
      <c r="Q269" s="910"/>
      <c r="R269" s="910"/>
      <c r="S269" s="910"/>
      <c r="T269" s="910"/>
      <c r="U269" s="910"/>
      <c r="V269" s="910"/>
    </row>
    <row r="270" spans="1:22" x14ac:dyDescent="0.25">
      <c r="A270" s="772"/>
      <c r="B270" s="767" t="str">
        <f t="shared" si="8"/>
        <v xml:space="preserve"> </v>
      </c>
      <c r="C270" s="768" t="str">
        <f t="shared" si="9"/>
        <v xml:space="preserve"> </v>
      </c>
      <c r="D270" s="486"/>
      <c r="E270" s="308" cm="1">
        <f t="array" ref="E270">_xlfn.XLOOKUP(A270&amp;D270, $A$562:$J$562&amp;$A$563:$J$563, $A$564:$J$564, " ")</f>
        <v>0</v>
      </c>
      <c r="F270" s="872" cm="1">
        <f t="array" ref="F270">_xlfn.XLOOKUP(A270&amp;D270, $A$562:$J$562&amp;$A$563:$J$563, $A$565:$J$565, " ")</f>
        <v>0</v>
      </c>
      <c r="G270" s="510"/>
      <c r="H270" s="840"/>
      <c r="I270" s="510"/>
      <c r="J270" s="510"/>
      <c r="K270" s="511"/>
      <c r="L270" s="510"/>
      <c r="M270" s="580"/>
      <c r="N270" s="580"/>
      <c r="O270" s="580"/>
      <c r="P270" s="910"/>
      <c r="Q270" s="910"/>
      <c r="R270" s="910"/>
      <c r="S270" s="910"/>
      <c r="T270" s="910"/>
      <c r="U270" s="910"/>
      <c r="V270" s="910"/>
    </row>
    <row r="271" spans="1:22" x14ac:dyDescent="0.25">
      <c r="A271" s="772"/>
      <c r="B271" s="767" t="str">
        <f t="shared" si="8"/>
        <v xml:space="preserve"> </v>
      </c>
      <c r="C271" s="768" t="str">
        <f t="shared" si="9"/>
        <v xml:space="preserve"> </v>
      </c>
      <c r="D271" s="486"/>
      <c r="E271" s="308" cm="1">
        <f t="array" ref="E271">_xlfn.XLOOKUP(A271&amp;D271, $A$562:$J$562&amp;$A$563:$J$563, $A$564:$J$564, " ")</f>
        <v>0</v>
      </c>
      <c r="F271" s="872" cm="1">
        <f t="array" ref="F271">_xlfn.XLOOKUP(A271&amp;D271, $A$562:$J$562&amp;$A$563:$J$563, $A$565:$J$565, " ")</f>
        <v>0</v>
      </c>
      <c r="G271" s="510"/>
      <c r="H271" s="840"/>
      <c r="I271" s="510"/>
      <c r="J271" s="510"/>
      <c r="K271" s="511"/>
      <c r="L271" s="510"/>
      <c r="M271" s="580"/>
      <c r="N271" s="580"/>
      <c r="O271" s="580"/>
      <c r="P271" s="910"/>
      <c r="Q271" s="910"/>
      <c r="R271" s="910"/>
      <c r="S271" s="910"/>
      <c r="T271" s="910"/>
      <c r="U271" s="910"/>
      <c r="V271" s="910"/>
    </row>
    <row r="272" spans="1:22" x14ac:dyDescent="0.25">
      <c r="A272" s="772"/>
      <c r="B272" s="767" t="str">
        <f t="shared" si="8"/>
        <v xml:space="preserve"> </v>
      </c>
      <c r="C272" s="768" t="str">
        <f t="shared" si="9"/>
        <v xml:space="preserve"> </v>
      </c>
      <c r="D272" s="486"/>
      <c r="E272" s="308" cm="1">
        <f t="array" ref="E272">_xlfn.XLOOKUP(A272&amp;D272, $A$562:$J$562&amp;$A$563:$J$563, $A$564:$J$564, " ")</f>
        <v>0</v>
      </c>
      <c r="F272" s="872" cm="1">
        <f t="array" ref="F272">_xlfn.XLOOKUP(A272&amp;D272, $A$562:$J$562&amp;$A$563:$J$563, $A$565:$J$565, " ")</f>
        <v>0</v>
      </c>
      <c r="G272" s="510"/>
      <c r="H272" s="840"/>
      <c r="I272" s="510"/>
      <c r="J272" s="510"/>
      <c r="K272" s="511"/>
      <c r="L272" s="510"/>
      <c r="M272" s="580"/>
      <c r="N272" s="580"/>
      <c r="O272" s="580"/>
      <c r="P272" s="910"/>
      <c r="Q272" s="910"/>
      <c r="R272" s="910"/>
      <c r="S272" s="910"/>
      <c r="T272" s="910"/>
      <c r="U272" s="910"/>
      <c r="V272" s="910"/>
    </row>
    <row r="273" spans="1:22" x14ac:dyDescent="0.25">
      <c r="A273" s="772"/>
      <c r="B273" s="767" t="str">
        <f t="shared" si="8"/>
        <v xml:space="preserve"> </v>
      </c>
      <c r="C273" s="768" t="str">
        <f t="shared" si="9"/>
        <v xml:space="preserve"> </v>
      </c>
      <c r="D273" s="486"/>
      <c r="E273" s="308" cm="1">
        <f t="array" ref="E273">_xlfn.XLOOKUP(A273&amp;D273, $A$562:$J$562&amp;$A$563:$J$563, $A$564:$J$564, " ")</f>
        <v>0</v>
      </c>
      <c r="F273" s="872" cm="1">
        <f t="array" ref="F273">_xlfn.XLOOKUP(A273&amp;D273, $A$562:$J$562&amp;$A$563:$J$563, $A$565:$J$565, " ")</f>
        <v>0</v>
      </c>
      <c r="G273" s="510"/>
      <c r="H273" s="840"/>
      <c r="I273" s="510"/>
      <c r="J273" s="510"/>
      <c r="K273" s="511"/>
      <c r="L273" s="510"/>
      <c r="M273" s="580"/>
      <c r="N273" s="580"/>
      <c r="O273" s="580"/>
      <c r="P273" s="910"/>
      <c r="Q273" s="910"/>
      <c r="R273" s="910"/>
      <c r="S273" s="910"/>
      <c r="T273" s="910"/>
      <c r="U273" s="910"/>
      <c r="V273" s="910"/>
    </row>
    <row r="274" spans="1:22" x14ac:dyDescent="0.25">
      <c r="A274" s="772"/>
      <c r="B274" s="767" t="str">
        <f t="shared" si="8"/>
        <v xml:space="preserve"> </v>
      </c>
      <c r="C274" s="768" t="str">
        <f t="shared" si="9"/>
        <v xml:space="preserve"> </v>
      </c>
      <c r="D274" s="486"/>
      <c r="E274" s="308" cm="1">
        <f t="array" ref="E274">_xlfn.XLOOKUP(A274&amp;D274, $A$562:$J$562&amp;$A$563:$J$563, $A$564:$J$564, " ")</f>
        <v>0</v>
      </c>
      <c r="F274" s="872" cm="1">
        <f t="array" ref="F274">_xlfn.XLOOKUP(A274&amp;D274, $A$562:$J$562&amp;$A$563:$J$563, $A$565:$J$565, " ")</f>
        <v>0</v>
      </c>
      <c r="G274" s="510"/>
      <c r="H274" s="840"/>
      <c r="I274" s="510"/>
      <c r="J274" s="510"/>
      <c r="K274" s="511"/>
      <c r="L274" s="510"/>
      <c r="M274" s="580"/>
      <c r="N274" s="580"/>
      <c r="O274" s="580"/>
      <c r="P274" s="910"/>
      <c r="Q274" s="910"/>
      <c r="R274" s="910"/>
      <c r="S274" s="910"/>
      <c r="T274" s="910"/>
      <c r="U274" s="910"/>
      <c r="V274" s="910"/>
    </row>
    <row r="275" spans="1:22" x14ac:dyDescent="0.25">
      <c r="A275" s="772"/>
      <c r="B275" s="767" t="str">
        <f t="shared" si="8"/>
        <v xml:space="preserve"> </v>
      </c>
      <c r="C275" s="768" t="str">
        <f t="shared" si="9"/>
        <v xml:space="preserve"> </v>
      </c>
      <c r="D275" s="486"/>
      <c r="E275" s="308" cm="1">
        <f t="array" ref="E275">_xlfn.XLOOKUP(A275&amp;D275, $A$562:$J$562&amp;$A$563:$J$563, $A$564:$J$564, " ")</f>
        <v>0</v>
      </c>
      <c r="F275" s="872" cm="1">
        <f t="array" ref="F275">_xlfn.XLOOKUP(A275&amp;D275, $A$562:$J$562&amp;$A$563:$J$563, $A$565:$J$565, " ")</f>
        <v>0</v>
      </c>
      <c r="G275" s="510"/>
      <c r="H275" s="840"/>
      <c r="I275" s="510"/>
      <c r="J275" s="510"/>
      <c r="K275" s="511"/>
      <c r="L275" s="510"/>
      <c r="M275" s="580"/>
      <c r="N275" s="580"/>
      <c r="O275" s="580"/>
      <c r="P275" s="910"/>
      <c r="Q275" s="910"/>
      <c r="R275" s="910"/>
      <c r="S275" s="910"/>
      <c r="T275" s="910"/>
      <c r="U275" s="910"/>
      <c r="V275" s="910"/>
    </row>
    <row r="276" spans="1:22" x14ac:dyDescent="0.25">
      <c r="A276" s="772"/>
      <c r="B276" s="767" t="str">
        <f t="shared" si="8"/>
        <v xml:space="preserve"> </v>
      </c>
      <c r="C276" s="768" t="str">
        <f t="shared" si="9"/>
        <v xml:space="preserve"> </v>
      </c>
      <c r="D276" s="486"/>
      <c r="E276" s="308" cm="1">
        <f t="array" ref="E276">_xlfn.XLOOKUP(A276&amp;D276, $A$562:$J$562&amp;$A$563:$J$563, $A$564:$J$564, " ")</f>
        <v>0</v>
      </c>
      <c r="F276" s="872" cm="1">
        <f t="array" ref="F276">_xlfn.XLOOKUP(A276&amp;D276, $A$562:$J$562&amp;$A$563:$J$563, $A$565:$J$565, " ")</f>
        <v>0</v>
      </c>
      <c r="G276" s="510"/>
      <c r="H276" s="840"/>
      <c r="I276" s="510"/>
      <c r="J276" s="510"/>
      <c r="K276" s="511"/>
      <c r="L276" s="510"/>
      <c r="M276" s="580"/>
      <c r="N276" s="580"/>
      <c r="O276" s="580"/>
      <c r="P276" s="910"/>
      <c r="Q276" s="910"/>
      <c r="R276" s="910"/>
      <c r="S276" s="910"/>
      <c r="T276" s="910"/>
      <c r="U276" s="910"/>
      <c r="V276" s="910"/>
    </row>
    <row r="277" spans="1:22" x14ac:dyDescent="0.25">
      <c r="A277" s="772"/>
      <c r="B277" s="767" t="str">
        <f t="shared" si="8"/>
        <v xml:space="preserve"> </v>
      </c>
      <c r="C277" s="768" t="str">
        <f t="shared" si="9"/>
        <v xml:space="preserve"> </v>
      </c>
      <c r="D277" s="486"/>
      <c r="E277" s="308" cm="1">
        <f t="array" ref="E277">_xlfn.XLOOKUP(A277&amp;D277, $A$562:$J$562&amp;$A$563:$J$563, $A$564:$J$564, " ")</f>
        <v>0</v>
      </c>
      <c r="F277" s="872" cm="1">
        <f t="array" ref="F277">_xlfn.XLOOKUP(A277&amp;D277, $A$562:$J$562&amp;$A$563:$J$563, $A$565:$J$565, " ")</f>
        <v>0</v>
      </c>
      <c r="G277" s="510"/>
      <c r="H277" s="840"/>
      <c r="I277" s="510"/>
      <c r="J277" s="510"/>
      <c r="K277" s="511"/>
      <c r="L277" s="510"/>
      <c r="M277" s="580"/>
      <c r="N277" s="580"/>
      <c r="O277" s="580"/>
      <c r="P277" s="910"/>
      <c r="Q277" s="910"/>
      <c r="R277" s="910"/>
      <c r="S277" s="910"/>
      <c r="T277" s="910"/>
      <c r="U277" s="910"/>
      <c r="V277" s="910"/>
    </row>
    <row r="278" spans="1:22" x14ac:dyDescent="0.25">
      <c r="A278" s="772"/>
      <c r="B278" s="767" t="str">
        <f t="shared" si="8"/>
        <v xml:space="preserve"> </v>
      </c>
      <c r="C278" s="768" t="str">
        <f t="shared" si="9"/>
        <v xml:space="preserve"> </v>
      </c>
      <c r="D278" s="486"/>
      <c r="E278" s="308" cm="1">
        <f t="array" ref="E278">_xlfn.XLOOKUP(A278&amp;D278, $A$562:$J$562&amp;$A$563:$J$563, $A$564:$J$564, " ")</f>
        <v>0</v>
      </c>
      <c r="F278" s="872" cm="1">
        <f t="array" ref="F278">_xlfn.XLOOKUP(A278&amp;D278, $A$562:$J$562&amp;$A$563:$J$563, $A$565:$J$565, " ")</f>
        <v>0</v>
      </c>
      <c r="G278" s="510"/>
      <c r="H278" s="840"/>
      <c r="I278" s="510"/>
      <c r="J278" s="510"/>
      <c r="K278" s="511"/>
      <c r="L278" s="510"/>
      <c r="M278" s="580"/>
      <c r="N278" s="580"/>
      <c r="O278" s="580"/>
      <c r="P278" s="910"/>
      <c r="Q278" s="910"/>
      <c r="R278" s="910"/>
      <c r="S278" s="910"/>
      <c r="T278" s="910"/>
      <c r="U278" s="910"/>
      <c r="V278" s="910"/>
    </row>
    <row r="279" spans="1:22" x14ac:dyDescent="0.25">
      <c r="A279" s="772"/>
      <c r="B279" s="767" t="str">
        <f t="shared" si="8"/>
        <v xml:space="preserve"> </v>
      </c>
      <c r="C279" s="768" t="str">
        <f t="shared" si="9"/>
        <v xml:space="preserve"> </v>
      </c>
      <c r="D279" s="486"/>
      <c r="E279" s="308" cm="1">
        <f t="array" ref="E279">_xlfn.XLOOKUP(A279&amp;D279, $A$562:$J$562&amp;$A$563:$J$563, $A$564:$J$564, " ")</f>
        <v>0</v>
      </c>
      <c r="F279" s="872" cm="1">
        <f t="array" ref="F279">_xlfn.XLOOKUP(A279&amp;D279, $A$562:$J$562&amp;$A$563:$J$563, $A$565:$J$565, " ")</f>
        <v>0</v>
      </c>
      <c r="G279" s="510"/>
      <c r="H279" s="840"/>
      <c r="I279" s="510"/>
      <c r="J279" s="510"/>
      <c r="K279" s="511"/>
      <c r="L279" s="510"/>
      <c r="M279" s="580"/>
      <c r="N279" s="580"/>
      <c r="O279" s="580"/>
      <c r="P279" s="910"/>
      <c r="Q279" s="910"/>
      <c r="R279" s="910"/>
      <c r="S279" s="910"/>
      <c r="T279" s="910"/>
      <c r="U279" s="910"/>
      <c r="V279" s="910"/>
    </row>
    <row r="280" spans="1:22" x14ac:dyDescent="0.25">
      <c r="A280" s="772"/>
      <c r="B280" s="767" t="str">
        <f t="shared" si="8"/>
        <v xml:space="preserve"> </v>
      </c>
      <c r="C280" s="768" t="str">
        <f t="shared" si="9"/>
        <v xml:space="preserve"> </v>
      </c>
      <c r="D280" s="486"/>
      <c r="E280" s="308" cm="1">
        <f t="array" ref="E280">_xlfn.XLOOKUP(A280&amp;D280, $A$562:$J$562&amp;$A$563:$J$563, $A$564:$J$564, " ")</f>
        <v>0</v>
      </c>
      <c r="F280" s="872" cm="1">
        <f t="array" ref="F280">_xlfn.XLOOKUP(A280&amp;D280, $A$562:$J$562&amp;$A$563:$J$563, $A$565:$J$565, " ")</f>
        <v>0</v>
      </c>
      <c r="G280" s="510"/>
      <c r="H280" s="840"/>
      <c r="I280" s="510"/>
      <c r="J280" s="510"/>
      <c r="K280" s="511"/>
      <c r="L280" s="510"/>
      <c r="M280" s="580"/>
      <c r="N280" s="580"/>
      <c r="O280" s="580"/>
      <c r="P280" s="910"/>
      <c r="Q280" s="910"/>
      <c r="R280" s="910"/>
      <c r="S280" s="910"/>
      <c r="T280" s="910"/>
      <c r="U280" s="910"/>
      <c r="V280" s="910"/>
    </row>
    <row r="281" spans="1:22" x14ac:dyDescent="0.25">
      <c r="A281" s="772"/>
      <c r="B281" s="767" t="str">
        <f t="shared" si="8"/>
        <v xml:space="preserve"> </v>
      </c>
      <c r="C281" s="768" t="str">
        <f t="shared" si="9"/>
        <v xml:space="preserve"> </v>
      </c>
      <c r="D281" s="486"/>
      <c r="E281" s="308" cm="1">
        <f t="array" ref="E281">_xlfn.XLOOKUP(A281&amp;D281, $A$562:$J$562&amp;$A$563:$J$563, $A$564:$J$564, " ")</f>
        <v>0</v>
      </c>
      <c r="F281" s="872" cm="1">
        <f t="array" ref="F281">_xlfn.XLOOKUP(A281&amp;D281, $A$562:$J$562&amp;$A$563:$J$563, $A$565:$J$565, " ")</f>
        <v>0</v>
      </c>
      <c r="G281" s="510"/>
      <c r="H281" s="840"/>
      <c r="I281" s="510"/>
      <c r="J281" s="510"/>
      <c r="K281" s="511"/>
      <c r="L281" s="510"/>
      <c r="M281" s="580"/>
      <c r="N281" s="580"/>
      <c r="O281" s="580"/>
      <c r="P281" s="910"/>
      <c r="Q281" s="910"/>
      <c r="R281" s="910"/>
      <c r="S281" s="910"/>
      <c r="T281" s="910"/>
      <c r="U281" s="910"/>
      <c r="V281" s="910"/>
    </row>
    <row r="282" spans="1:22" x14ac:dyDescent="0.25">
      <c r="A282" s="772"/>
      <c r="B282" s="767" t="str">
        <f t="shared" si="8"/>
        <v xml:space="preserve"> </v>
      </c>
      <c r="C282" s="768" t="str">
        <f t="shared" si="9"/>
        <v xml:space="preserve"> </v>
      </c>
      <c r="D282" s="486"/>
      <c r="E282" s="308" cm="1">
        <f t="array" ref="E282">_xlfn.XLOOKUP(A282&amp;D282, $A$562:$J$562&amp;$A$563:$J$563, $A$564:$J$564, " ")</f>
        <v>0</v>
      </c>
      <c r="F282" s="872" cm="1">
        <f t="array" ref="F282">_xlfn.XLOOKUP(A282&amp;D282, $A$562:$J$562&amp;$A$563:$J$563, $A$565:$J$565, " ")</f>
        <v>0</v>
      </c>
      <c r="G282" s="510"/>
      <c r="H282" s="840"/>
      <c r="I282" s="510"/>
      <c r="J282" s="510"/>
      <c r="K282" s="511"/>
      <c r="L282" s="510"/>
      <c r="M282" s="580"/>
      <c r="N282" s="580"/>
      <c r="O282" s="580"/>
      <c r="P282" s="910"/>
      <c r="Q282" s="910"/>
      <c r="R282" s="910"/>
      <c r="S282" s="910"/>
      <c r="T282" s="910"/>
      <c r="U282" s="910"/>
      <c r="V282" s="910"/>
    </row>
    <row r="283" spans="1:22" x14ac:dyDescent="0.25">
      <c r="A283" s="772"/>
      <c r="B283" s="767" t="str">
        <f t="shared" si="8"/>
        <v xml:space="preserve"> </v>
      </c>
      <c r="C283" s="768" t="str">
        <f t="shared" si="9"/>
        <v xml:space="preserve"> </v>
      </c>
      <c r="D283" s="486"/>
      <c r="E283" s="308" cm="1">
        <f t="array" ref="E283">_xlfn.XLOOKUP(A283&amp;D283, $A$562:$J$562&amp;$A$563:$J$563, $A$564:$J$564, " ")</f>
        <v>0</v>
      </c>
      <c r="F283" s="872" cm="1">
        <f t="array" ref="F283">_xlfn.XLOOKUP(A283&amp;D283, $A$562:$J$562&amp;$A$563:$J$563, $A$565:$J$565, " ")</f>
        <v>0</v>
      </c>
      <c r="G283" s="510"/>
      <c r="H283" s="840"/>
      <c r="I283" s="510"/>
      <c r="J283" s="510"/>
      <c r="K283" s="511"/>
      <c r="L283" s="510"/>
      <c r="M283" s="580"/>
      <c r="N283" s="580"/>
      <c r="O283" s="580"/>
      <c r="P283" s="910"/>
      <c r="Q283" s="910"/>
      <c r="R283" s="910"/>
      <c r="S283" s="910"/>
      <c r="T283" s="910"/>
      <c r="U283" s="910"/>
      <c r="V283" s="910"/>
    </row>
    <row r="284" spans="1:22" x14ac:dyDescent="0.25">
      <c r="A284" s="772"/>
      <c r="B284" s="767" t="str">
        <f t="shared" si="8"/>
        <v xml:space="preserve"> </v>
      </c>
      <c r="C284" s="768" t="str">
        <f t="shared" si="9"/>
        <v xml:space="preserve"> </v>
      </c>
      <c r="D284" s="486"/>
      <c r="E284" s="308" cm="1">
        <f t="array" ref="E284">_xlfn.XLOOKUP(A284&amp;D284, $A$562:$J$562&amp;$A$563:$J$563, $A$564:$J$564, " ")</f>
        <v>0</v>
      </c>
      <c r="F284" s="872" cm="1">
        <f t="array" ref="F284">_xlfn.XLOOKUP(A284&amp;D284, $A$562:$J$562&amp;$A$563:$J$563, $A$565:$J$565, " ")</f>
        <v>0</v>
      </c>
      <c r="G284" s="510"/>
      <c r="H284" s="840"/>
      <c r="I284" s="510"/>
      <c r="J284" s="510"/>
      <c r="K284" s="511"/>
      <c r="L284" s="510"/>
      <c r="M284" s="580"/>
      <c r="N284" s="580"/>
      <c r="O284" s="580"/>
      <c r="P284" s="910"/>
      <c r="Q284" s="910"/>
      <c r="R284" s="910"/>
      <c r="S284" s="910"/>
      <c r="T284" s="910"/>
      <c r="U284" s="910"/>
      <c r="V284" s="910"/>
    </row>
    <row r="285" spans="1:22" x14ac:dyDescent="0.25">
      <c r="A285" s="772"/>
      <c r="B285" s="767" t="str">
        <f t="shared" si="8"/>
        <v xml:space="preserve"> </v>
      </c>
      <c r="C285" s="768" t="str">
        <f t="shared" si="9"/>
        <v xml:space="preserve"> </v>
      </c>
      <c r="D285" s="486"/>
      <c r="E285" s="308" cm="1">
        <f t="array" ref="E285">_xlfn.XLOOKUP(A285&amp;D285, $A$562:$J$562&amp;$A$563:$J$563, $A$564:$J$564, " ")</f>
        <v>0</v>
      </c>
      <c r="F285" s="872" cm="1">
        <f t="array" ref="F285">_xlfn.XLOOKUP(A285&amp;D285, $A$562:$J$562&amp;$A$563:$J$563, $A$565:$J$565, " ")</f>
        <v>0</v>
      </c>
      <c r="G285" s="510"/>
      <c r="H285" s="840"/>
      <c r="I285" s="510"/>
      <c r="J285" s="510"/>
      <c r="K285" s="511"/>
      <c r="L285" s="510"/>
      <c r="M285" s="580"/>
      <c r="N285" s="580"/>
      <c r="O285" s="580"/>
      <c r="P285" s="910"/>
      <c r="Q285" s="910"/>
      <c r="R285" s="910"/>
      <c r="S285" s="910"/>
      <c r="T285" s="910"/>
      <c r="U285" s="910"/>
      <c r="V285" s="910"/>
    </row>
    <row r="286" spans="1:22" x14ac:dyDescent="0.25">
      <c r="A286" s="772"/>
      <c r="B286" s="767" t="str">
        <f t="shared" si="8"/>
        <v xml:space="preserve"> </v>
      </c>
      <c r="C286" s="768" t="str">
        <f t="shared" si="9"/>
        <v xml:space="preserve"> </v>
      </c>
      <c r="D286" s="486"/>
      <c r="E286" s="308" cm="1">
        <f t="array" ref="E286">_xlfn.XLOOKUP(A286&amp;D286, $A$562:$J$562&amp;$A$563:$J$563, $A$564:$J$564, " ")</f>
        <v>0</v>
      </c>
      <c r="F286" s="872" cm="1">
        <f t="array" ref="F286">_xlfn.XLOOKUP(A286&amp;D286, $A$562:$J$562&amp;$A$563:$J$563, $A$565:$J$565, " ")</f>
        <v>0</v>
      </c>
      <c r="G286" s="510"/>
      <c r="H286" s="840"/>
      <c r="I286" s="510"/>
      <c r="J286" s="510"/>
      <c r="K286" s="511"/>
      <c r="L286" s="510"/>
      <c r="M286" s="580"/>
      <c r="N286" s="580"/>
      <c r="O286" s="580"/>
      <c r="P286" s="910"/>
      <c r="Q286" s="910"/>
      <c r="R286" s="910"/>
      <c r="S286" s="910"/>
      <c r="T286" s="910"/>
      <c r="U286" s="910"/>
      <c r="V286" s="910"/>
    </row>
    <row r="287" spans="1:22" x14ac:dyDescent="0.25">
      <c r="A287" s="772"/>
      <c r="B287" s="767" t="str">
        <f t="shared" si="8"/>
        <v xml:space="preserve"> </v>
      </c>
      <c r="C287" s="768" t="str">
        <f t="shared" si="9"/>
        <v xml:space="preserve"> </v>
      </c>
      <c r="D287" s="486"/>
      <c r="E287" s="308" cm="1">
        <f t="array" ref="E287">_xlfn.XLOOKUP(A287&amp;D287, $A$562:$J$562&amp;$A$563:$J$563, $A$564:$J$564, " ")</f>
        <v>0</v>
      </c>
      <c r="F287" s="872" cm="1">
        <f t="array" ref="F287">_xlfn.XLOOKUP(A287&amp;D287, $A$562:$J$562&amp;$A$563:$J$563, $A$565:$J$565, " ")</f>
        <v>0</v>
      </c>
      <c r="G287" s="510"/>
      <c r="H287" s="840"/>
      <c r="I287" s="510"/>
      <c r="J287" s="510"/>
      <c r="K287" s="511"/>
      <c r="L287" s="510"/>
      <c r="M287" s="580"/>
      <c r="N287" s="580"/>
      <c r="O287" s="580"/>
      <c r="P287" s="910"/>
      <c r="Q287" s="910"/>
      <c r="R287" s="910"/>
      <c r="S287" s="910"/>
      <c r="T287" s="910"/>
      <c r="U287" s="910"/>
      <c r="V287" s="910"/>
    </row>
    <row r="288" spans="1:22" x14ac:dyDescent="0.25">
      <c r="A288" s="772"/>
      <c r="B288" s="767" t="str">
        <f t="shared" si="8"/>
        <v xml:space="preserve"> </v>
      </c>
      <c r="C288" s="768" t="str">
        <f t="shared" si="9"/>
        <v xml:space="preserve"> </v>
      </c>
      <c r="D288" s="486"/>
      <c r="E288" s="308" cm="1">
        <f t="array" ref="E288">_xlfn.XLOOKUP(A288&amp;D288, $A$562:$J$562&amp;$A$563:$J$563, $A$564:$J$564, " ")</f>
        <v>0</v>
      </c>
      <c r="F288" s="872" cm="1">
        <f t="array" ref="F288">_xlfn.XLOOKUP(A288&amp;D288, $A$562:$J$562&amp;$A$563:$J$563, $A$565:$J$565, " ")</f>
        <v>0</v>
      </c>
      <c r="G288" s="510"/>
      <c r="H288" s="840"/>
      <c r="I288" s="510"/>
      <c r="J288" s="510"/>
      <c r="K288" s="511"/>
      <c r="L288" s="510"/>
      <c r="M288" s="580"/>
      <c r="N288" s="580"/>
      <c r="O288" s="580"/>
      <c r="P288" s="910"/>
      <c r="Q288" s="910"/>
      <c r="R288" s="910"/>
      <c r="S288" s="910"/>
      <c r="T288" s="910"/>
      <c r="U288" s="910"/>
      <c r="V288" s="910"/>
    </row>
    <row r="289" spans="1:22" x14ac:dyDescent="0.25">
      <c r="A289" s="772"/>
      <c r="B289" s="767" t="str">
        <f t="shared" si="8"/>
        <v xml:space="preserve"> </v>
      </c>
      <c r="C289" s="768" t="str">
        <f t="shared" si="9"/>
        <v xml:space="preserve"> </v>
      </c>
      <c r="D289" s="486"/>
      <c r="E289" s="308" cm="1">
        <f t="array" ref="E289">_xlfn.XLOOKUP(A289&amp;D289, $A$562:$J$562&amp;$A$563:$J$563, $A$564:$J$564, " ")</f>
        <v>0</v>
      </c>
      <c r="F289" s="872" cm="1">
        <f t="array" ref="F289">_xlfn.XLOOKUP(A289&amp;D289, $A$562:$J$562&amp;$A$563:$J$563, $A$565:$J$565, " ")</f>
        <v>0</v>
      </c>
      <c r="G289" s="510"/>
      <c r="H289" s="840"/>
      <c r="I289" s="510"/>
      <c r="J289" s="510"/>
      <c r="K289" s="511"/>
      <c r="L289" s="510"/>
      <c r="M289" s="580"/>
      <c r="N289" s="580"/>
      <c r="O289" s="580"/>
      <c r="P289" s="910"/>
      <c r="Q289" s="910"/>
      <c r="R289" s="910"/>
      <c r="S289" s="910"/>
      <c r="T289" s="910"/>
      <c r="U289" s="910"/>
      <c r="V289" s="910"/>
    </row>
    <row r="290" spans="1:22" x14ac:dyDescent="0.25">
      <c r="A290" s="772"/>
      <c r="B290" s="767" t="str">
        <f t="shared" si="8"/>
        <v xml:space="preserve"> </v>
      </c>
      <c r="C290" s="768" t="str">
        <f t="shared" si="9"/>
        <v xml:space="preserve"> </v>
      </c>
      <c r="D290" s="486"/>
      <c r="E290" s="308" cm="1">
        <f t="array" ref="E290">_xlfn.XLOOKUP(A290&amp;D290, $A$562:$J$562&amp;$A$563:$J$563, $A$564:$J$564, " ")</f>
        <v>0</v>
      </c>
      <c r="F290" s="872" cm="1">
        <f t="array" ref="F290">_xlfn.XLOOKUP(A290&amp;D290, $A$562:$J$562&amp;$A$563:$J$563, $A$565:$J$565, " ")</f>
        <v>0</v>
      </c>
      <c r="G290" s="510"/>
      <c r="H290" s="840"/>
      <c r="I290" s="510"/>
      <c r="J290" s="510"/>
      <c r="K290" s="511"/>
      <c r="L290" s="510"/>
      <c r="M290" s="580"/>
      <c r="N290" s="580"/>
      <c r="O290" s="580"/>
      <c r="P290" s="910"/>
      <c r="Q290" s="910"/>
      <c r="R290" s="910"/>
      <c r="S290" s="910"/>
      <c r="T290" s="910"/>
      <c r="U290" s="910"/>
      <c r="V290" s="910"/>
    </row>
    <row r="291" spans="1:22" x14ac:dyDescent="0.25">
      <c r="A291" s="772"/>
      <c r="B291" s="767" t="str">
        <f t="shared" si="8"/>
        <v xml:space="preserve"> </v>
      </c>
      <c r="C291" s="768" t="str">
        <f t="shared" si="9"/>
        <v xml:space="preserve"> </v>
      </c>
      <c r="D291" s="486"/>
      <c r="E291" s="308" cm="1">
        <f t="array" ref="E291">_xlfn.XLOOKUP(A291&amp;D291, $A$562:$J$562&amp;$A$563:$J$563, $A$564:$J$564, " ")</f>
        <v>0</v>
      </c>
      <c r="F291" s="872" cm="1">
        <f t="array" ref="F291">_xlfn.XLOOKUP(A291&amp;D291, $A$562:$J$562&amp;$A$563:$J$563, $A$565:$J$565, " ")</f>
        <v>0</v>
      </c>
      <c r="G291" s="510"/>
      <c r="H291" s="840"/>
      <c r="I291" s="510"/>
      <c r="J291" s="510"/>
      <c r="K291" s="511"/>
      <c r="L291" s="510"/>
      <c r="M291" s="580"/>
      <c r="N291" s="580"/>
      <c r="O291" s="580"/>
      <c r="P291" s="910"/>
      <c r="Q291" s="910"/>
      <c r="R291" s="910"/>
      <c r="S291" s="910"/>
      <c r="T291" s="910"/>
      <c r="U291" s="910"/>
      <c r="V291" s="910"/>
    </row>
    <row r="292" spans="1:22" x14ac:dyDescent="0.25">
      <c r="A292" s="772"/>
      <c r="B292" s="767" t="str">
        <f t="shared" si="8"/>
        <v xml:space="preserve"> </v>
      </c>
      <c r="C292" s="768" t="str">
        <f t="shared" si="9"/>
        <v xml:space="preserve"> </v>
      </c>
      <c r="D292" s="486"/>
      <c r="E292" s="308" cm="1">
        <f t="array" ref="E292">_xlfn.XLOOKUP(A292&amp;D292, $A$562:$J$562&amp;$A$563:$J$563, $A$564:$J$564, " ")</f>
        <v>0</v>
      </c>
      <c r="F292" s="872" cm="1">
        <f t="array" ref="F292">_xlfn.XLOOKUP(A292&amp;D292, $A$562:$J$562&amp;$A$563:$J$563, $A$565:$J$565, " ")</f>
        <v>0</v>
      </c>
      <c r="G292" s="510"/>
      <c r="H292" s="840"/>
      <c r="I292" s="510"/>
      <c r="J292" s="510"/>
      <c r="K292" s="511"/>
      <c r="L292" s="510"/>
      <c r="M292" s="580"/>
      <c r="N292" s="580"/>
      <c r="O292" s="580"/>
      <c r="P292" s="910"/>
      <c r="Q292" s="910"/>
      <c r="R292" s="910"/>
      <c r="S292" s="910"/>
      <c r="T292" s="910"/>
      <c r="U292" s="910"/>
      <c r="V292" s="910"/>
    </row>
    <row r="293" spans="1:22" x14ac:dyDescent="0.25">
      <c r="A293" s="772"/>
      <c r="B293" s="767" t="str">
        <f t="shared" si="8"/>
        <v xml:space="preserve"> </v>
      </c>
      <c r="C293" s="768" t="str">
        <f t="shared" si="9"/>
        <v xml:space="preserve"> </v>
      </c>
      <c r="D293" s="486"/>
      <c r="E293" s="308" cm="1">
        <f t="array" ref="E293">_xlfn.XLOOKUP(A293&amp;D293, $A$562:$J$562&amp;$A$563:$J$563, $A$564:$J$564, " ")</f>
        <v>0</v>
      </c>
      <c r="F293" s="872" cm="1">
        <f t="array" ref="F293">_xlfn.XLOOKUP(A293&amp;D293, $A$562:$J$562&amp;$A$563:$J$563, $A$565:$J$565, " ")</f>
        <v>0</v>
      </c>
      <c r="G293" s="510"/>
      <c r="H293" s="840"/>
      <c r="I293" s="510"/>
      <c r="J293" s="510"/>
      <c r="K293" s="511"/>
      <c r="L293" s="510"/>
      <c r="M293" s="580"/>
      <c r="N293" s="580"/>
      <c r="O293" s="580"/>
      <c r="P293" s="910"/>
      <c r="Q293" s="910"/>
      <c r="R293" s="910"/>
      <c r="S293" s="910"/>
      <c r="T293" s="910"/>
      <c r="U293" s="910"/>
      <c r="V293" s="910"/>
    </row>
    <row r="294" spans="1:22" x14ac:dyDescent="0.25">
      <c r="A294" s="772"/>
      <c r="B294" s="767" t="str">
        <f t="shared" si="8"/>
        <v xml:space="preserve"> </v>
      </c>
      <c r="C294" s="768" t="str">
        <f t="shared" si="9"/>
        <v xml:space="preserve"> </v>
      </c>
      <c r="D294" s="486"/>
      <c r="E294" s="308" cm="1">
        <f t="array" ref="E294">_xlfn.XLOOKUP(A294&amp;D294, $A$562:$J$562&amp;$A$563:$J$563, $A$564:$J$564, " ")</f>
        <v>0</v>
      </c>
      <c r="F294" s="872" cm="1">
        <f t="array" ref="F294">_xlfn.XLOOKUP(A294&amp;D294, $A$562:$J$562&amp;$A$563:$J$563, $A$565:$J$565, " ")</f>
        <v>0</v>
      </c>
      <c r="G294" s="510"/>
      <c r="H294" s="840"/>
      <c r="I294" s="510"/>
      <c r="J294" s="510"/>
      <c r="K294" s="511"/>
      <c r="L294" s="510"/>
      <c r="M294" s="580"/>
      <c r="N294" s="580"/>
      <c r="O294" s="580"/>
      <c r="P294" s="910"/>
      <c r="Q294" s="910"/>
      <c r="R294" s="910"/>
      <c r="S294" s="910"/>
      <c r="T294" s="910"/>
      <c r="U294" s="910"/>
      <c r="V294" s="910"/>
    </row>
    <row r="295" spans="1:22" x14ac:dyDescent="0.25">
      <c r="A295" s="772"/>
      <c r="B295" s="767" t="str">
        <f t="shared" si="8"/>
        <v xml:space="preserve"> </v>
      </c>
      <c r="C295" s="768" t="str">
        <f t="shared" si="9"/>
        <v xml:space="preserve"> </v>
      </c>
      <c r="D295" s="486"/>
      <c r="E295" s="308" cm="1">
        <f t="array" ref="E295">_xlfn.XLOOKUP(A295&amp;D295, $A$562:$J$562&amp;$A$563:$J$563, $A$564:$J$564, " ")</f>
        <v>0</v>
      </c>
      <c r="F295" s="872" cm="1">
        <f t="array" ref="F295">_xlfn.XLOOKUP(A295&amp;D295, $A$562:$J$562&amp;$A$563:$J$563, $A$565:$J$565, " ")</f>
        <v>0</v>
      </c>
      <c r="G295" s="510"/>
      <c r="H295" s="840"/>
      <c r="I295" s="510"/>
      <c r="J295" s="510"/>
      <c r="K295" s="511"/>
      <c r="L295" s="510"/>
      <c r="M295" s="580"/>
      <c r="N295" s="580"/>
      <c r="O295" s="580"/>
      <c r="P295" s="910"/>
      <c r="Q295" s="910"/>
      <c r="R295" s="910"/>
      <c r="S295" s="910"/>
      <c r="T295" s="910"/>
      <c r="U295" s="910"/>
      <c r="V295" s="910"/>
    </row>
    <row r="296" spans="1:22" x14ac:dyDescent="0.25">
      <c r="A296" s="772"/>
      <c r="B296" s="767" t="str">
        <f t="shared" si="8"/>
        <v xml:space="preserve"> </v>
      </c>
      <c r="C296" s="768" t="str">
        <f t="shared" si="9"/>
        <v xml:space="preserve"> </v>
      </c>
      <c r="D296" s="486"/>
      <c r="E296" s="308" cm="1">
        <f t="array" ref="E296">_xlfn.XLOOKUP(A296&amp;D296, $A$562:$J$562&amp;$A$563:$J$563, $A$564:$J$564, " ")</f>
        <v>0</v>
      </c>
      <c r="F296" s="872" cm="1">
        <f t="array" ref="F296">_xlfn.XLOOKUP(A296&amp;D296, $A$562:$J$562&amp;$A$563:$J$563, $A$565:$J$565, " ")</f>
        <v>0</v>
      </c>
      <c r="G296" s="510"/>
      <c r="H296" s="840"/>
      <c r="I296" s="510"/>
      <c r="J296" s="510"/>
      <c r="K296" s="511"/>
      <c r="L296" s="510"/>
      <c r="M296" s="580"/>
      <c r="N296" s="580"/>
      <c r="O296" s="580"/>
      <c r="P296" s="910"/>
      <c r="Q296" s="910"/>
      <c r="R296" s="910"/>
      <c r="S296" s="910"/>
      <c r="T296" s="910"/>
      <c r="U296" s="910"/>
      <c r="V296" s="910"/>
    </row>
    <row r="297" spans="1:22" x14ac:dyDescent="0.25">
      <c r="A297" s="772"/>
      <c r="B297" s="767" t="str">
        <f t="shared" si="8"/>
        <v xml:space="preserve"> </v>
      </c>
      <c r="C297" s="768" t="str">
        <f t="shared" si="9"/>
        <v xml:space="preserve"> </v>
      </c>
      <c r="D297" s="486"/>
      <c r="E297" s="308" cm="1">
        <f t="array" ref="E297">_xlfn.XLOOKUP(A297&amp;D297, $A$562:$J$562&amp;$A$563:$J$563, $A$564:$J$564, " ")</f>
        <v>0</v>
      </c>
      <c r="F297" s="872" cm="1">
        <f t="array" ref="F297">_xlfn.XLOOKUP(A297&amp;D297, $A$562:$J$562&amp;$A$563:$J$563, $A$565:$J$565, " ")</f>
        <v>0</v>
      </c>
      <c r="G297" s="510"/>
      <c r="H297" s="840"/>
      <c r="I297" s="510"/>
      <c r="J297" s="510"/>
      <c r="K297" s="511"/>
      <c r="L297" s="510"/>
      <c r="M297" s="580"/>
      <c r="N297" s="580"/>
      <c r="O297" s="580"/>
      <c r="P297" s="910"/>
      <c r="Q297" s="910"/>
      <c r="R297" s="910"/>
      <c r="S297" s="910"/>
      <c r="T297" s="910"/>
      <c r="U297" s="910"/>
      <c r="V297" s="910"/>
    </row>
    <row r="298" spans="1:22" x14ac:dyDescent="0.25">
      <c r="A298" s="772"/>
      <c r="B298" s="767" t="str">
        <f t="shared" si="8"/>
        <v xml:space="preserve"> </v>
      </c>
      <c r="C298" s="768" t="str">
        <f t="shared" si="9"/>
        <v xml:space="preserve"> </v>
      </c>
      <c r="D298" s="486"/>
      <c r="E298" s="308" cm="1">
        <f t="array" ref="E298">_xlfn.XLOOKUP(A298&amp;D298, $A$562:$J$562&amp;$A$563:$J$563, $A$564:$J$564, " ")</f>
        <v>0</v>
      </c>
      <c r="F298" s="872" cm="1">
        <f t="array" ref="F298">_xlfn.XLOOKUP(A298&amp;D298, $A$562:$J$562&amp;$A$563:$J$563, $A$565:$J$565, " ")</f>
        <v>0</v>
      </c>
      <c r="G298" s="510"/>
      <c r="H298" s="840"/>
      <c r="I298" s="510"/>
      <c r="J298" s="510"/>
      <c r="K298" s="511"/>
      <c r="L298" s="510"/>
      <c r="M298" s="580"/>
      <c r="N298" s="580"/>
      <c r="O298" s="580"/>
      <c r="P298" s="910"/>
      <c r="Q298" s="910"/>
      <c r="R298" s="910"/>
      <c r="S298" s="910"/>
      <c r="T298" s="910"/>
      <c r="U298" s="910"/>
      <c r="V298" s="910"/>
    </row>
    <row r="299" spans="1:22" x14ac:dyDescent="0.25">
      <c r="A299" s="772"/>
      <c r="B299" s="767" t="str">
        <f t="shared" si="8"/>
        <v xml:space="preserve"> </v>
      </c>
      <c r="C299" s="768" t="str">
        <f t="shared" si="9"/>
        <v xml:space="preserve"> </v>
      </c>
      <c r="D299" s="486"/>
      <c r="E299" s="308" cm="1">
        <f t="array" ref="E299">_xlfn.XLOOKUP(A299&amp;D299, $A$562:$J$562&amp;$A$563:$J$563, $A$564:$J$564, " ")</f>
        <v>0</v>
      </c>
      <c r="F299" s="872" cm="1">
        <f t="array" ref="F299">_xlfn.XLOOKUP(A299&amp;D299, $A$562:$J$562&amp;$A$563:$J$563, $A$565:$J$565, " ")</f>
        <v>0</v>
      </c>
      <c r="G299" s="510"/>
      <c r="H299" s="840"/>
      <c r="I299" s="510"/>
      <c r="J299" s="510"/>
      <c r="K299" s="511"/>
      <c r="L299" s="510"/>
      <c r="M299" s="580"/>
      <c r="N299" s="580"/>
      <c r="O299" s="580"/>
      <c r="P299" s="910"/>
      <c r="Q299" s="910"/>
      <c r="R299" s="910"/>
      <c r="S299" s="910"/>
      <c r="T299" s="910"/>
      <c r="U299" s="910"/>
      <c r="V299" s="910"/>
    </row>
    <row r="300" spans="1:22" x14ac:dyDescent="0.25">
      <c r="A300" s="772"/>
      <c r="B300" s="767" t="str">
        <f t="shared" si="8"/>
        <v xml:space="preserve"> </v>
      </c>
      <c r="C300" s="768" t="str">
        <f t="shared" si="9"/>
        <v xml:space="preserve"> </v>
      </c>
      <c r="D300" s="486"/>
      <c r="E300" s="308" cm="1">
        <f t="array" ref="E300">_xlfn.XLOOKUP(A300&amp;D300, $A$562:$J$562&amp;$A$563:$J$563, $A$564:$J$564, " ")</f>
        <v>0</v>
      </c>
      <c r="F300" s="872" cm="1">
        <f t="array" ref="F300">_xlfn.XLOOKUP(A300&amp;D300, $A$562:$J$562&amp;$A$563:$J$563, $A$565:$J$565, " ")</f>
        <v>0</v>
      </c>
      <c r="G300" s="510"/>
      <c r="H300" s="840"/>
      <c r="I300" s="510"/>
      <c r="J300" s="510"/>
      <c r="K300" s="511"/>
      <c r="L300" s="510"/>
      <c r="M300" s="580"/>
      <c r="N300" s="580"/>
      <c r="O300" s="580"/>
      <c r="P300" s="910"/>
      <c r="Q300" s="910"/>
      <c r="R300" s="910"/>
      <c r="S300" s="910"/>
      <c r="T300" s="910"/>
      <c r="U300" s="910"/>
      <c r="V300" s="910"/>
    </row>
    <row r="301" spans="1:22" x14ac:dyDescent="0.25">
      <c r="A301" s="772"/>
      <c r="B301" s="767" t="str">
        <f t="shared" si="8"/>
        <v xml:space="preserve"> </v>
      </c>
      <c r="C301" s="768" t="str">
        <f t="shared" si="9"/>
        <v xml:space="preserve"> </v>
      </c>
      <c r="D301" s="486"/>
      <c r="E301" s="308" cm="1">
        <f t="array" ref="E301">_xlfn.XLOOKUP(A301&amp;D301, $A$562:$J$562&amp;$A$563:$J$563, $A$564:$J$564, " ")</f>
        <v>0</v>
      </c>
      <c r="F301" s="872" cm="1">
        <f t="array" ref="F301">_xlfn.XLOOKUP(A301&amp;D301, $A$562:$J$562&amp;$A$563:$J$563, $A$565:$J$565, " ")</f>
        <v>0</v>
      </c>
      <c r="G301" s="510"/>
      <c r="H301" s="840"/>
      <c r="I301" s="510"/>
      <c r="J301" s="510"/>
      <c r="K301" s="511"/>
      <c r="L301" s="510"/>
      <c r="M301" s="580"/>
      <c r="N301" s="580"/>
      <c r="O301" s="580"/>
      <c r="P301" s="910"/>
      <c r="Q301" s="910"/>
      <c r="R301" s="910"/>
      <c r="S301" s="910"/>
      <c r="T301" s="910"/>
      <c r="U301" s="910"/>
      <c r="V301" s="910"/>
    </row>
    <row r="302" spans="1:22" x14ac:dyDescent="0.25">
      <c r="A302" s="772"/>
      <c r="B302" s="767" t="str">
        <f t="shared" si="8"/>
        <v xml:space="preserve"> </v>
      </c>
      <c r="C302" s="768" t="str">
        <f t="shared" si="9"/>
        <v xml:space="preserve"> </v>
      </c>
      <c r="D302" s="486"/>
      <c r="E302" s="308" cm="1">
        <f t="array" ref="E302">_xlfn.XLOOKUP(A302&amp;D302, $A$562:$J$562&amp;$A$563:$J$563, $A$564:$J$564, " ")</f>
        <v>0</v>
      </c>
      <c r="F302" s="872" cm="1">
        <f t="array" ref="F302">_xlfn.XLOOKUP(A302&amp;D302, $A$562:$J$562&amp;$A$563:$J$563, $A$565:$J$565, " ")</f>
        <v>0</v>
      </c>
      <c r="G302" s="510"/>
      <c r="H302" s="840"/>
      <c r="I302" s="510"/>
      <c r="J302" s="510"/>
      <c r="K302" s="511"/>
      <c r="L302" s="510"/>
      <c r="M302" s="580"/>
      <c r="N302" s="580"/>
      <c r="O302" s="580"/>
      <c r="P302" s="910"/>
      <c r="Q302" s="910"/>
      <c r="R302" s="910"/>
      <c r="S302" s="910"/>
      <c r="T302" s="910"/>
      <c r="U302" s="910"/>
      <c r="V302" s="910"/>
    </row>
    <row r="303" spans="1:22" x14ac:dyDescent="0.25">
      <c r="A303" s="772"/>
      <c r="B303" s="767" t="str">
        <f t="shared" si="8"/>
        <v xml:space="preserve"> </v>
      </c>
      <c r="C303" s="768" t="str">
        <f t="shared" si="9"/>
        <v xml:space="preserve"> </v>
      </c>
      <c r="D303" s="486"/>
      <c r="E303" s="308" cm="1">
        <f t="array" ref="E303">_xlfn.XLOOKUP(A303&amp;D303, $A$562:$J$562&amp;$A$563:$J$563, $A$564:$J$564, " ")</f>
        <v>0</v>
      </c>
      <c r="F303" s="872" cm="1">
        <f t="array" ref="F303">_xlfn.XLOOKUP(A303&amp;D303, $A$562:$J$562&amp;$A$563:$J$563, $A$565:$J$565, " ")</f>
        <v>0</v>
      </c>
      <c r="G303" s="510"/>
      <c r="H303" s="840"/>
      <c r="I303" s="510"/>
      <c r="J303" s="510"/>
      <c r="K303" s="511"/>
      <c r="L303" s="510"/>
      <c r="M303" s="580"/>
      <c r="N303" s="580"/>
      <c r="O303" s="580"/>
      <c r="P303" s="910"/>
      <c r="Q303" s="910"/>
      <c r="R303" s="910"/>
      <c r="S303" s="910"/>
      <c r="T303" s="910"/>
      <c r="U303" s="910"/>
      <c r="V303" s="910"/>
    </row>
    <row r="304" spans="1:22" x14ac:dyDescent="0.25">
      <c r="A304" s="772"/>
      <c r="B304" s="767" t="str">
        <f t="shared" si="8"/>
        <v xml:space="preserve"> </v>
      </c>
      <c r="C304" s="768" t="str">
        <f t="shared" si="9"/>
        <v xml:space="preserve"> </v>
      </c>
      <c r="D304" s="486"/>
      <c r="E304" s="308" cm="1">
        <f t="array" ref="E304">_xlfn.XLOOKUP(A304&amp;D304, $A$562:$J$562&amp;$A$563:$J$563, $A$564:$J$564, " ")</f>
        <v>0</v>
      </c>
      <c r="F304" s="872" cm="1">
        <f t="array" ref="F304">_xlfn.XLOOKUP(A304&amp;D304, $A$562:$J$562&amp;$A$563:$J$563, $A$565:$J$565, " ")</f>
        <v>0</v>
      </c>
      <c r="G304" s="510"/>
      <c r="H304" s="840"/>
      <c r="I304" s="510"/>
      <c r="J304" s="510"/>
      <c r="K304" s="511"/>
      <c r="L304" s="510"/>
      <c r="M304" s="580"/>
      <c r="N304" s="580"/>
      <c r="O304" s="580"/>
      <c r="P304" s="910"/>
      <c r="Q304" s="910"/>
      <c r="R304" s="910"/>
      <c r="S304" s="910"/>
      <c r="T304" s="910"/>
      <c r="U304" s="910"/>
      <c r="V304" s="910"/>
    </row>
    <row r="305" spans="1:22" x14ac:dyDescent="0.25">
      <c r="A305" s="772"/>
      <c r="B305" s="767" t="str">
        <f t="shared" si="8"/>
        <v xml:space="preserve"> </v>
      </c>
      <c r="C305" s="768" t="str">
        <f t="shared" si="9"/>
        <v xml:space="preserve"> </v>
      </c>
      <c r="D305" s="486"/>
      <c r="E305" s="308" cm="1">
        <f t="array" ref="E305">_xlfn.XLOOKUP(A305&amp;D305, $A$562:$J$562&amp;$A$563:$J$563, $A$564:$J$564, " ")</f>
        <v>0</v>
      </c>
      <c r="F305" s="872" cm="1">
        <f t="array" ref="F305">_xlfn.XLOOKUP(A305&amp;D305, $A$562:$J$562&amp;$A$563:$J$563, $A$565:$J$565, " ")</f>
        <v>0</v>
      </c>
      <c r="G305" s="510"/>
      <c r="H305" s="840"/>
      <c r="I305" s="510"/>
      <c r="J305" s="510"/>
      <c r="K305" s="511"/>
      <c r="L305" s="510"/>
      <c r="M305" s="580"/>
      <c r="N305" s="580"/>
      <c r="O305" s="580"/>
      <c r="P305" s="910"/>
      <c r="Q305" s="910"/>
      <c r="R305" s="910"/>
      <c r="S305" s="910"/>
      <c r="T305" s="910"/>
      <c r="U305" s="910"/>
      <c r="V305" s="910"/>
    </row>
    <row r="306" spans="1:22" x14ac:dyDescent="0.25">
      <c r="A306" s="772"/>
      <c r="B306" s="767" t="str">
        <f t="shared" si="8"/>
        <v xml:space="preserve"> </v>
      </c>
      <c r="C306" s="768" t="str">
        <f t="shared" si="9"/>
        <v xml:space="preserve"> </v>
      </c>
      <c r="D306" s="486"/>
      <c r="E306" s="308" cm="1">
        <f t="array" ref="E306">_xlfn.XLOOKUP(A306&amp;D306, $A$562:$J$562&amp;$A$563:$J$563, $A$564:$J$564, " ")</f>
        <v>0</v>
      </c>
      <c r="F306" s="872" cm="1">
        <f t="array" ref="F306">_xlfn.XLOOKUP(A306&amp;D306, $A$562:$J$562&amp;$A$563:$J$563, $A$565:$J$565, " ")</f>
        <v>0</v>
      </c>
      <c r="G306" s="510"/>
      <c r="H306" s="840"/>
      <c r="I306" s="510"/>
      <c r="J306" s="510"/>
      <c r="K306" s="511"/>
      <c r="L306" s="510"/>
      <c r="M306" s="580"/>
      <c r="N306" s="580"/>
      <c r="O306" s="580"/>
      <c r="P306" s="910"/>
      <c r="Q306" s="910"/>
      <c r="R306" s="910"/>
      <c r="S306" s="910"/>
      <c r="T306" s="910"/>
      <c r="U306" s="910"/>
      <c r="V306" s="910"/>
    </row>
    <row r="307" spans="1:22" x14ac:dyDescent="0.25">
      <c r="A307" s="772"/>
      <c r="B307" s="767" t="str">
        <f t="shared" si="8"/>
        <v xml:space="preserve"> </v>
      </c>
      <c r="C307" s="768" t="str">
        <f t="shared" si="9"/>
        <v xml:space="preserve"> </v>
      </c>
      <c r="D307" s="486"/>
      <c r="E307" s="308" cm="1">
        <f t="array" ref="E307">_xlfn.XLOOKUP(A307&amp;D307, $A$562:$J$562&amp;$A$563:$J$563, $A$564:$J$564, " ")</f>
        <v>0</v>
      </c>
      <c r="F307" s="872" cm="1">
        <f t="array" ref="F307">_xlfn.XLOOKUP(A307&amp;D307, $A$562:$J$562&amp;$A$563:$J$563, $A$565:$J$565, " ")</f>
        <v>0</v>
      </c>
      <c r="G307" s="510"/>
      <c r="H307" s="840"/>
      <c r="I307" s="510"/>
      <c r="J307" s="510"/>
      <c r="K307" s="511"/>
      <c r="L307" s="510"/>
      <c r="M307" s="580"/>
      <c r="N307" s="580"/>
      <c r="O307" s="580"/>
      <c r="P307" s="910"/>
      <c r="Q307" s="910"/>
      <c r="R307" s="910"/>
      <c r="S307" s="910"/>
      <c r="T307" s="910"/>
      <c r="U307" s="910"/>
      <c r="V307" s="910"/>
    </row>
    <row r="308" spans="1:22" x14ac:dyDescent="0.25">
      <c r="A308" s="772"/>
      <c r="B308" s="767" t="str">
        <f t="shared" si="8"/>
        <v xml:space="preserve"> </v>
      </c>
      <c r="C308" s="768" t="str">
        <f t="shared" si="9"/>
        <v xml:space="preserve"> </v>
      </c>
      <c r="D308" s="486"/>
      <c r="E308" s="308" cm="1">
        <f t="array" ref="E308">_xlfn.XLOOKUP(A308&amp;D308, $A$562:$J$562&amp;$A$563:$J$563, $A$564:$J$564, " ")</f>
        <v>0</v>
      </c>
      <c r="F308" s="872" cm="1">
        <f t="array" ref="F308">_xlfn.XLOOKUP(A308&amp;D308, $A$562:$J$562&amp;$A$563:$J$563, $A$565:$J$565, " ")</f>
        <v>0</v>
      </c>
      <c r="G308" s="510"/>
      <c r="H308" s="840"/>
      <c r="I308" s="510"/>
      <c r="J308" s="510"/>
      <c r="K308" s="511"/>
      <c r="L308" s="510"/>
      <c r="M308" s="580"/>
      <c r="N308" s="580"/>
      <c r="O308" s="580"/>
      <c r="P308" s="910"/>
      <c r="Q308" s="910"/>
      <c r="R308" s="910"/>
      <c r="S308" s="910"/>
      <c r="T308" s="910"/>
      <c r="U308" s="910"/>
      <c r="V308" s="910"/>
    </row>
    <row r="309" spans="1:22" x14ac:dyDescent="0.25">
      <c r="A309" s="772"/>
      <c r="B309" s="767" t="str">
        <f t="shared" si="8"/>
        <v xml:space="preserve"> </v>
      </c>
      <c r="C309" s="768" t="str">
        <f t="shared" si="9"/>
        <v xml:space="preserve"> </v>
      </c>
      <c r="D309" s="486"/>
      <c r="E309" s="308" cm="1">
        <f t="array" ref="E309">_xlfn.XLOOKUP(A309&amp;D309, $A$562:$J$562&amp;$A$563:$J$563, $A$564:$J$564, " ")</f>
        <v>0</v>
      </c>
      <c r="F309" s="872" cm="1">
        <f t="array" ref="F309">_xlfn.XLOOKUP(A309&amp;D309, $A$562:$J$562&amp;$A$563:$J$563, $A$565:$J$565, " ")</f>
        <v>0</v>
      </c>
      <c r="G309" s="510"/>
      <c r="H309" s="840"/>
      <c r="I309" s="510"/>
      <c r="J309" s="510"/>
      <c r="K309" s="511"/>
      <c r="L309" s="510"/>
      <c r="M309" s="580"/>
      <c r="N309" s="580"/>
      <c r="O309" s="580"/>
      <c r="P309" s="910"/>
      <c r="Q309" s="910"/>
      <c r="R309" s="910"/>
      <c r="S309" s="910"/>
      <c r="T309" s="910"/>
      <c r="U309" s="910"/>
      <c r="V309" s="910"/>
    </row>
    <row r="310" spans="1:22" x14ac:dyDescent="0.25">
      <c r="A310" s="772"/>
      <c r="B310" s="767" t="str">
        <f t="shared" si="8"/>
        <v xml:space="preserve"> </v>
      </c>
      <c r="C310" s="768" t="str">
        <f t="shared" si="9"/>
        <v xml:space="preserve"> </v>
      </c>
      <c r="D310" s="486"/>
      <c r="E310" s="308" cm="1">
        <f t="array" ref="E310">_xlfn.XLOOKUP(A310&amp;D310, $A$562:$J$562&amp;$A$563:$J$563, $A$564:$J$564, " ")</f>
        <v>0</v>
      </c>
      <c r="F310" s="872" cm="1">
        <f t="array" ref="F310">_xlfn.XLOOKUP(A310&amp;D310, $A$562:$J$562&amp;$A$563:$J$563, $A$565:$J$565, " ")</f>
        <v>0</v>
      </c>
      <c r="G310" s="510"/>
      <c r="H310" s="840"/>
      <c r="I310" s="510"/>
      <c r="J310" s="510"/>
      <c r="K310" s="511"/>
      <c r="L310" s="510"/>
      <c r="M310" s="580"/>
      <c r="N310" s="580"/>
      <c r="O310" s="580"/>
      <c r="P310" s="910"/>
      <c r="Q310" s="910"/>
      <c r="R310" s="910"/>
      <c r="S310" s="910"/>
      <c r="T310" s="910"/>
      <c r="U310" s="910"/>
      <c r="V310" s="910"/>
    </row>
    <row r="311" spans="1:22" x14ac:dyDescent="0.25">
      <c r="A311" s="772"/>
      <c r="B311" s="767" t="str">
        <f t="shared" si="8"/>
        <v xml:space="preserve"> </v>
      </c>
      <c r="C311" s="768" t="str">
        <f t="shared" si="9"/>
        <v xml:space="preserve"> </v>
      </c>
      <c r="D311" s="486"/>
      <c r="E311" s="308" cm="1">
        <f t="array" ref="E311">_xlfn.XLOOKUP(A311&amp;D311, $A$562:$J$562&amp;$A$563:$J$563, $A$564:$J$564, " ")</f>
        <v>0</v>
      </c>
      <c r="F311" s="872" cm="1">
        <f t="array" ref="F311">_xlfn.XLOOKUP(A311&amp;D311, $A$562:$J$562&amp;$A$563:$J$563, $A$565:$J$565, " ")</f>
        <v>0</v>
      </c>
      <c r="G311" s="510"/>
      <c r="H311" s="840"/>
      <c r="I311" s="510"/>
      <c r="J311" s="510"/>
      <c r="K311" s="511"/>
      <c r="L311" s="510"/>
      <c r="M311" s="580"/>
      <c r="N311" s="580"/>
      <c r="O311" s="580"/>
      <c r="P311" s="910"/>
      <c r="Q311" s="910"/>
      <c r="R311" s="910"/>
      <c r="S311" s="910"/>
      <c r="T311" s="910"/>
      <c r="U311" s="910"/>
      <c r="V311" s="910"/>
    </row>
    <row r="312" spans="1:22" x14ac:dyDescent="0.25">
      <c r="A312" s="772"/>
      <c r="B312" s="767" t="str">
        <f t="shared" si="8"/>
        <v xml:space="preserve"> </v>
      </c>
      <c r="C312" s="768" t="str">
        <f t="shared" si="9"/>
        <v xml:space="preserve"> </v>
      </c>
      <c r="D312" s="486"/>
      <c r="E312" s="308" cm="1">
        <f t="array" ref="E312">_xlfn.XLOOKUP(A312&amp;D312, $A$562:$J$562&amp;$A$563:$J$563, $A$564:$J$564, " ")</f>
        <v>0</v>
      </c>
      <c r="F312" s="872" cm="1">
        <f t="array" ref="F312">_xlfn.XLOOKUP(A312&amp;D312, $A$562:$J$562&amp;$A$563:$J$563, $A$565:$J$565, " ")</f>
        <v>0</v>
      </c>
      <c r="G312" s="510"/>
      <c r="H312" s="840"/>
      <c r="I312" s="510"/>
      <c r="J312" s="510"/>
      <c r="K312" s="511"/>
      <c r="L312" s="510"/>
      <c r="M312" s="580"/>
      <c r="N312" s="580"/>
      <c r="O312" s="580"/>
      <c r="P312" s="910"/>
      <c r="Q312" s="910"/>
      <c r="R312" s="910"/>
      <c r="S312" s="910"/>
      <c r="T312" s="910"/>
      <c r="U312" s="910"/>
      <c r="V312" s="910"/>
    </row>
    <row r="313" spans="1:22" x14ac:dyDescent="0.25">
      <c r="A313" s="772"/>
      <c r="B313" s="767" t="str">
        <f t="shared" si="8"/>
        <v xml:space="preserve"> </v>
      </c>
      <c r="C313" s="768" t="str">
        <f t="shared" si="9"/>
        <v xml:space="preserve"> </v>
      </c>
      <c r="D313" s="486"/>
      <c r="E313" s="308" cm="1">
        <f t="array" ref="E313">_xlfn.XLOOKUP(A313&amp;D313, $A$562:$J$562&amp;$A$563:$J$563, $A$564:$J$564, " ")</f>
        <v>0</v>
      </c>
      <c r="F313" s="872" cm="1">
        <f t="array" ref="F313">_xlfn.XLOOKUP(A313&amp;D313, $A$562:$J$562&amp;$A$563:$J$563, $A$565:$J$565, " ")</f>
        <v>0</v>
      </c>
      <c r="G313" s="510"/>
      <c r="H313" s="840"/>
      <c r="I313" s="510"/>
      <c r="J313" s="510"/>
      <c r="K313" s="511"/>
      <c r="L313" s="510"/>
      <c r="M313" s="580"/>
      <c r="N313" s="580"/>
      <c r="O313" s="580"/>
      <c r="P313" s="910"/>
      <c r="Q313" s="910"/>
      <c r="R313" s="910"/>
      <c r="S313" s="910"/>
      <c r="T313" s="910"/>
      <c r="U313" s="910"/>
      <c r="V313" s="910"/>
    </row>
    <row r="314" spans="1:22" x14ac:dyDescent="0.25">
      <c r="A314" s="772"/>
      <c r="B314" s="767" t="str">
        <f t="shared" si="8"/>
        <v xml:space="preserve"> </v>
      </c>
      <c r="C314" s="768" t="str">
        <f t="shared" si="9"/>
        <v xml:space="preserve"> </v>
      </c>
      <c r="D314" s="486"/>
      <c r="E314" s="308" cm="1">
        <f t="array" ref="E314">_xlfn.XLOOKUP(A314&amp;D314, $A$562:$J$562&amp;$A$563:$J$563, $A$564:$J$564, " ")</f>
        <v>0</v>
      </c>
      <c r="F314" s="872" cm="1">
        <f t="array" ref="F314">_xlfn.XLOOKUP(A314&amp;D314, $A$562:$J$562&amp;$A$563:$J$563, $A$565:$J$565, " ")</f>
        <v>0</v>
      </c>
      <c r="G314" s="510"/>
      <c r="H314" s="840"/>
      <c r="I314" s="510"/>
      <c r="J314" s="510"/>
      <c r="K314" s="511"/>
      <c r="L314" s="510"/>
      <c r="M314" s="580"/>
      <c r="N314" s="580"/>
      <c r="O314" s="580"/>
      <c r="P314" s="910"/>
      <c r="Q314" s="910"/>
      <c r="R314" s="910"/>
      <c r="S314" s="910"/>
      <c r="T314" s="910"/>
      <c r="U314" s="910"/>
      <c r="V314" s="910"/>
    </row>
    <row r="315" spans="1:22" x14ac:dyDescent="0.25">
      <c r="A315" s="772"/>
      <c r="B315" s="767" t="str">
        <f t="shared" si="8"/>
        <v xml:space="preserve"> </v>
      </c>
      <c r="C315" s="768" t="str">
        <f t="shared" si="9"/>
        <v xml:space="preserve"> </v>
      </c>
      <c r="D315" s="486"/>
      <c r="E315" s="308" cm="1">
        <f t="array" ref="E315">_xlfn.XLOOKUP(A315&amp;D315, $A$562:$J$562&amp;$A$563:$J$563, $A$564:$J$564, " ")</f>
        <v>0</v>
      </c>
      <c r="F315" s="872" cm="1">
        <f t="array" ref="F315">_xlfn.XLOOKUP(A315&amp;D315, $A$562:$J$562&amp;$A$563:$J$563, $A$565:$J$565, " ")</f>
        <v>0</v>
      </c>
      <c r="G315" s="510"/>
      <c r="H315" s="840"/>
      <c r="I315" s="510"/>
      <c r="J315" s="510"/>
      <c r="K315" s="511"/>
      <c r="L315" s="510"/>
      <c r="M315" s="580"/>
      <c r="N315" s="580"/>
      <c r="O315" s="580"/>
      <c r="P315" s="910"/>
      <c r="Q315" s="910"/>
      <c r="R315" s="910"/>
      <c r="S315" s="910"/>
      <c r="T315" s="910"/>
      <c r="U315" s="910"/>
      <c r="V315" s="910"/>
    </row>
    <row r="316" spans="1:22" x14ac:dyDescent="0.25">
      <c r="A316" s="772"/>
      <c r="B316" s="767" t="str">
        <f t="shared" si="8"/>
        <v xml:space="preserve"> </v>
      </c>
      <c r="C316" s="768" t="str">
        <f t="shared" si="9"/>
        <v xml:space="preserve"> </v>
      </c>
      <c r="D316" s="486"/>
      <c r="E316" s="308" cm="1">
        <f t="array" ref="E316">_xlfn.XLOOKUP(A316&amp;D316, $A$562:$J$562&amp;$A$563:$J$563, $A$564:$J$564, " ")</f>
        <v>0</v>
      </c>
      <c r="F316" s="872" cm="1">
        <f t="array" ref="F316">_xlfn.XLOOKUP(A316&amp;D316, $A$562:$J$562&amp;$A$563:$J$563, $A$565:$J$565, " ")</f>
        <v>0</v>
      </c>
      <c r="G316" s="510"/>
      <c r="H316" s="840"/>
      <c r="I316" s="510"/>
      <c r="J316" s="510"/>
      <c r="K316" s="511"/>
      <c r="L316" s="510"/>
      <c r="M316" s="580"/>
      <c r="N316" s="580"/>
      <c r="O316" s="580"/>
      <c r="P316" s="910"/>
      <c r="Q316" s="910"/>
      <c r="R316" s="910"/>
      <c r="S316" s="910"/>
      <c r="T316" s="910"/>
      <c r="U316" s="910"/>
      <c r="V316" s="910"/>
    </row>
    <row r="317" spans="1:22" x14ac:dyDescent="0.25">
      <c r="A317" s="772"/>
      <c r="B317" s="767" t="str">
        <f t="shared" si="8"/>
        <v xml:space="preserve"> </v>
      </c>
      <c r="C317" s="768" t="str">
        <f t="shared" si="9"/>
        <v xml:space="preserve"> </v>
      </c>
      <c r="D317" s="486"/>
      <c r="E317" s="308" cm="1">
        <f t="array" ref="E317">_xlfn.XLOOKUP(A317&amp;D317, $A$562:$J$562&amp;$A$563:$J$563, $A$564:$J$564, " ")</f>
        <v>0</v>
      </c>
      <c r="F317" s="872" cm="1">
        <f t="array" ref="F317">_xlfn.XLOOKUP(A317&amp;D317, $A$562:$J$562&amp;$A$563:$J$563, $A$565:$J$565, " ")</f>
        <v>0</v>
      </c>
      <c r="G317" s="510"/>
      <c r="H317" s="840"/>
      <c r="I317" s="510"/>
      <c r="J317" s="510"/>
      <c r="K317" s="511"/>
      <c r="L317" s="510"/>
      <c r="M317" s="580"/>
      <c r="N317" s="580"/>
      <c r="O317" s="580"/>
      <c r="P317" s="910"/>
      <c r="Q317" s="910"/>
      <c r="R317" s="910"/>
      <c r="S317" s="910"/>
      <c r="T317" s="910"/>
      <c r="U317" s="910"/>
      <c r="V317" s="910"/>
    </row>
    <row r="318" spans="1:22" x14ac:dyDescent="0.25">
      <c r="A318" s="772"/>
      <c r="B318" s="767" t="str">
        <f t="shared" si="8"/>
        <v xml:space="preserve"> </v>
      </c>
      <c r="C318" s="768" t="str">
        <f t="shared" si="9"/>
        <v xml:space="preserve"> </v>
      </c>
      <c r="D318" s="486"/>
      <c r="E318" s="308" cm="1">
        <f t="array" ref="E318">_xlfn.XLOOKUP(A318&amp;D318, $A$562:$J$562&amp;$A$563:$J$563, $A$564:$J$564, " ")</f>
        <v>0</v>
      </c>
      <c r="F318" s="872" cm="1">
        <f t="array" ref="F318">_xlfn.XLOOKUP(A318&amp;D318, $A$562:$J$562&amp;$A$563:$J$563, $A$565:$J$565, " ")</f>
        <v>0</v>
      </c>
      <c r="G318" s="510"/>
      <c r="H318" s="840"/>
      <c r="I318" s="510"/>
      <c r="J318" s="510"/>
      <c r="K318" s="511"/>
      <c r="L318" s="510"/>
      <c r="M318" s="580"/>
      <c r="N318" s="580"/>
      <c r="O318" s="580"/>
      <c r="P318" s="910"/>
      <c r="Q318" s="910"/>
      <c r="R318" s="910"/>
      <c r="S318" s="910"/>
      <c r="T318" s="910"/>
      <c r="U318" s="910"/>
      <c r="V318" s="910"/>
    </row>
    <row r="319" spans="1:22" x14ac:dyDescent="0.25">
      <c r="A319" s="772"/>
      <c r="B319" s="767" t="str">
        <f t="shared" si="8"/>
        <v xml:space="preserve"> </v>
      </c>
      <c r="C319" s="768" t="str">
        <f t="shared" si="9"/>
        <v xml:space="preserve"> </v>
      </c>
      <c r="D319" s="486"/>
      <c r="E319" s="308" cm="1">
        <f t="array" ref="E319">_xlfn.XLOOKUP(A319&amp;D319, $A$562:$J$562&amp;$A$563:$J$563, $A$564:$J$564, " ")</f>
        <v>0</v>
      </c>
      <c r="F319" s="872" cm="1">
        <f t="array" ref="F319">_xlfn.XLOOKUP(A319&amp;D319, $A$562:$J$562&amp;$A$563:$J$563, $A$565:$J$565, " ")</f>
        <v>0</v>
      </c>
      <c r="G319" s="510"/>
      <c r="H319" s="840"/>
      <c r="I319" s="510"/>
      <c r="J319" s="510"/>
      <c r="K319" s="511"/>
      <c r="L319" s="510"/>
      <c r="M319" s="580"/>
      <c r="N319" s="580"/>
      <c r="O319" s="580"/>
      <c r="P319" s="910"/>
      <c r="Q319" s="910"/>
      <c r="R319" s="910"/>
      <c r="S319" s="910"/>
      <c r="T319" s="910"/>
      <c r="U319" s="910"/>
      <c r="V319" s="910"/>
    </row>
    <row r="320" spans="1:22" x14ac:dyDescent="0.25">
      <c r="A320" s="772"/>
      <c r="B320" s="767" t="str">
        <f t="shared" si="8"/>
        <v xml:space="preserve"> </v>
      </c>
      <c r="C320" s="768" t="str">
        <f t="shared" si="9"/>
        <v xml:space="preserve"> </v>
      </c>
      <c r="D320" s="486"/>
      <c r="E320" s="308" cm="1">
        <f t="array" ref="E320">_xlfn.XLOOKUP(A320&amp;D320, $A$562:$J$562&amp;$A$563:$J$563, $A$564:$J$564, " ")</f>
        <v>0</v>
      </c>
      <c r="F320" s="872" cm="1">
        <f t="array" ref="F320">_xlfn.XLOOKUP(A320&amp;D320, $A$562:$J$562&amp;$A$563:$J$563, $A$565:$J$565, " ")</f>
        <v>0</v>
      </c>
      <c r="G320" s="510"/>
      <c r="H320" s="840"/>
      <c r="I320" s="510"/>
      <c r="J320" s="510"/>
      <c r="K320" s="511"/>
      <c r="L320" s="510"/>
      <c r="M320" s="580"/>
      <c r="N320" s="580"/>
      <c r="O320" s="580"/>
      <c r="P320" s="910"/>
      <c r="Q320" s="910"/>
      <c r="R320" s="910"/>
      <c r="S320" s="910"/>
      <c r="T320" s="910"/>
      <c r="U320" s="910"/>
      <c r="V320" s="910"/>
    </row>
    <row r="321" spans="1:22" x14ac:dyDescent="0.25">
      <c r="A321" s="772"/>
      <c r="B321" s="767" t="str">
        <f t="shared" si="8"/>
        <v xml:space="preserve"> </v>
      </c>
      <c r="C321" s="768" t="str">
        <f t="shared" si="9"/>
        <v xml:space="preserve"> </v>
      </c>
      <c r="D321" s="486"/>
      <c r="E321" s="308" cm="1">
        <f t="array" ref="E321">_xlfn.XLOOKUP(A321&amp;D321, $A$562:$J$562&amp;$A$563:$J$563, $A$564:$J$564, " ")</f>
        <v>0</v>
      </c>
      <c r="F321" s="872" cm="1">
        <f t="array" ref="F321">_xlfn.XLOOKUP(A321&amp;D321, $A$562:$J$562&amp;$A$563:$J$563, $A$565:$J$565, " ")</f>
        <v>0</v>
      </c>
      <c r="G321" s="510"/>
      <c r="H321" s="840"/>
      <c r="I321" s="510"/>
      <c r="J321" s="510"/>
      <c r="K321" s="511"/>
      <c r="L321" s="510"/>
      <c r="M321" s="580"/>
      <c r="N321" s="580"/>
      <c r="O321" s="580"/>
      <c r="P321" s="910"/>
      <c r="Q321" s="910"/>
      <c r="R321" s="910"/>
      <c r="S321" s="910"/>
      <c r="T321" s="910"/>
      <c r="U321" s="910"/>
      <c r="V321" s="910"/>
    </row>
    <row r="322" spans="1:22" x14ac:dyDescent="0.25">
      <c r="A322" s="772"/>
      <c r="B322" s="767" t="str">
        <f t="shared" si="8"/>
        <v xml:space="preserve"> </v>
      </c>
      <c r="C322" s="768" t="str">
        <f t="shared" si="9"/>
        <v xml:space="preserve"> </v>
      </c>
      <c r="D322" s="486"/>
      <c r="E322" s="308" cm="1">
        <f t="array" ref="E322">_xlfn.XLOOKUP(A322&amp;D322, $A$562:$J$562&amp;$A$563:$J$563, $A$564:$J$564, " ")</f>
        <v>0</v>
      </c>
      <c r="F322" s="872" cm="1">
        <f t="array" ref="F322">_xlfn.XLOOKUP(A322&amp;D322, $A$562:$J$562&amp;$A$563:$J$563, $A$565:$J$565, " ")</f>
        <v>0</v>
      </c>
      <c r="G322" s="510"/>
      <c r="H322" s="840"/>
      <c r="I322" s="510"/>
      <c r="J322" s="510"/>
      <c r="K322" s="511"/>
      <c r="L322" s="510"/>
      <c r="M322" s="580"/>
      <c r="N322" s="580"/>
      <c r="O322" s="580"/>
      <c r="P322" s="910"/>
      <c r="Q322" s="910"/>
      <c r="R322" s="910"/>
      <c r="S322" s="910"/>
      <c r="T322" s="910"/>
      <c r="U322" s="910"/>
      <c r="V322" s="910"/>
    </row>
    <row r="323" spans="1:22" x14ac:dyDescent="0.25">
      <c r="A323" s="772"/>
      <c r="B323" s="767" t="str">
        <f t="shared" si="8"/>
        <v xml:space="preserve"> </v>
      </c>
      <c r="C323" s="768" t="str">
        <f t="shared" si="9"/>
        <v xml:space="preserve"> </v>
      </c>
      <c r="D323" s="486"/>
      <c r="E323" s="308" cm="1">
        <f t="array" ref="E323">_xlfn.XLOOKUP(A323&amp;D323, $A$562:$J$562&amp;$A$563:$J$563, $A$564:$J$564, " ")</f>
        <v>0</v>
      </c>
      <c r="F323" s="872" cm="1">
        <f t="array" ref="F323">_xlfn.XLOOKUP(A323&amp;D323, $A$562:$J$562&amp;$A$563:$J$563, $A$565:$J$565, " ")</f>
        <v>0</v>
      </c>
      <c r="G323" s="510"/>
      <c r="H323" s="840"/>
      <c r="I323" s="510"/>
      <c r="J323" s="510"/>
      <c r="K323" s="511"/>
      <c r="L323" s="510"/>
      <c r="M323" s="580"/>
      <c r="N323" s="580"/>
      <c r="O323" s="580"/>
      <c r="P323" s="910"/>
      <c r="Q323" s="910"/>
      <c r="R323" s="910"/>
      <c r="S323" s="910"/>
      <c r="T323" s="910"/>
      <c r="U323" s="910"/>
      <c r="V323" s="910"/>
    </row>
    <row r="324" spans="1:22" x14ac:dyDescent="0.25">
      <c r="A324" s="772"/>
      <c r="B324" s="767" t="str">
        <f t="shared" si="8"/>
        <v xml:space="preserve"> </v>
      </c>
      <c r="C324" s="768" t="str">
        <f t="shared" si="9"/>
        <v xml:space="preserve"> </v>
      </c>
      <c r="D324" s="486"/>
      <c r="E324" s="308" cm="1">
        <f t="array" ref="E324">_xlfn.XLOOKUP(A324&amp;D324, $A$562:$J$562&amp;$A$563:$J$563, $A$564:$J$564, " ")</f>
        <v>0</v>
      </c>
      <c r="F324" s="872" cm="1">
        <f t="array" ref="F324">_xlfn.XLOOKUP(A324&amp;D324, $A$562:$J$562&amp;$A$563:$J$563, $A$565:$J$565, " ")</f>
        <v>0</v>
      </c>
      <c r="G324" s="510"/>
      <c r="H324" s="840"/>
      <c r="I324" s="510"/>
      <c r="J324" s="510"/>
      <c r="K324" s="511"/>
      <c r="L324" s="510"/>
      <c r="M324" s="580"/>
      <c r="N324" s="580"/>
      <c r="O324" s="580"/>
      <c r="P324" s="910"/>
      <c r="Q324" s="910"/>
      <c r="R324" s="910"/>
      <c r="S324" s="910"/>
      <c r="T324" s="910"/>
      <c r="U324" s="910"/>
      <c r="V324" s="910"/>
    </row>
    <row r="325" spans="1:22" x14ac:dyDescent="0.25">
      <c r="A325" s="772"/>
      <c r="B325" s="767" t="str">
        <f t="shared" si="8"/>
        <v xml:space="preserve"> </v>
      </c>
      <c r="C325" s="768" t="str">
        <f t="shared" si="9"/>
        <v xml:space="preserve"> </v>
      </c>
      <c r="D325" s="486"/>
      <c r="E325" s="308" cm="1">
        <f t="array" ref="E325">_xlfn.XLOOKUP(A325&amp;D325, $A$562:$J$562&amp;$A$563:$J$563, $A$564:$J$564, " ")</f>
        <v>0</v>
      </c>
      <c r="F325" s="872" cm="1">
        <f t="array" ref="F325">_xlfn.XLOOKUP(A325&amp;D325, $A$562:$J$562&amp;$A$563:$J$563, $A$565:$J$565, " ")</f>
        <v>0</v>
      </c>
      <c r="G325" s="510"/>
      <c r="H325" s="840"/>
      <c r="I325" s="510"/>
      <c r="J325" s="510"/>
      <c r="K325" s="511"/>
      <c r="L325" s="510"/>
      <c r="M325" s="580"/>
      <c r="N325" s="580"/>
      <c r="O325" s="580"/>
      <c r="P325" s="910"/>
      <c r="Q325" s="910"/>
      <c r="R325" s="910"/>
      <c r="S325" s="910"/>
      <c r="T325" s="910"/>
      <c r="U325" s="910"/>
      <c r="V325" s="910"/>
    </row>
    <row r="326" spans="1:22" x14ac:dyDescent="0.25">
      <c r="A326" s="772"/>
      <c r="B326" s="767" t="str">
        <f t="shared" si="8"/>
        <v xml:space="preserve"> </v>
      </c>
      <c r="C326" s="768" t="str">
        <f t="shared" si="9"/>
        <v xml:space="preserve"> </v>
      </c>
      <c r="D326" s="486"/>
      <c r="E326" s="308" cm="1">
        <f t="array" ref="E326">_xlfn.XLOOKUP(A326&amp;D326, $A$562:$J$562&amp;$A$563:$J$563, $A$564:$J$564, " ")</f>
        <v>0</v>
      </c>
      <c r="F326" s="872" cm="1">
        <f t="array" ref="F326">_xlfn.XLOOKUP(A326&amp;D326, $A$562:$J$562&amp;$A$563:$J$563, $A$565:$J$565, " ")</f>
        <v>0</v>
      </c>
      <c r="G326" s="510"/>
      <c r="H326" s="840"/>
      <c r="I326" s="510"/>
      <c r="J326" s="510"/>
      <c r="K326" s="511"/>
      <c r="L326" s="510"/>
      <c r="M326" s="580"/>
      <c r="N326" s="580"/>
      <c r="O326" s="580"/>
      <c r="P326" s="910"/>
      <c r="Q326" s="910"/>
      <c r="R326" s="910"/>
      <c r="S326" s="910"/>
      <c r="T326" s="910"/>
      <c r="U326" s="910"/>
      <c r="V326" s="910"/>
    </row>
    <row r="327" spans="1:22" x14ac:dyDescent="0.25">
      <c r="A327" s="772"/>
      <c r="B327" s="767" t="str">
        <f t="shared" si="8"/>
        <v xml:space="preserve"> </v>
      </c>
      <c r="C327" s="768" t="str">
        <f t="shared" si="9"/>
        <v xml:space="preserve"> </v>
      </c>
      <c r="D327" s="486"/>
      <c r="E327" s="308" cm="1">
        <f t="array" ref="E327">_xlfn.XLOOKUP(A327&amp;D327, $A$562:$J$562&amp;$A$563:$J$563, $A$564:$J$564, " ")</f>
        <v>0</v>
      </c>
      <c r="F327" s="872" cm="1">
        <f t="array" ref="F327">_xlfn.XLOOKUP(A327&amp;D327, $A$562:$J$562&amp;$A$563:$J$563, $A$565:$J$565, " ")</f>
        <v>0</v>
      </c>
      <c r="G327" s="510"/>
      <c r="H327" s="840"/>
      <c r="I327" s="510"/>
      <c r="J327" s="510"/>
      <c r="K327" s="511"/>
      <c r="L327" s="510"/>
      <c r="M327" s="580"/>
      <c r="N327" s="580"/>
      <c r="O327" s="580"/>
      <c r="P327" s="910"/>
      <c r="Q327" s="910"/>
      <c r="R327" s="910"/>
      <c r="S327" s="910"/>
      <c r="T327" s="910"/>
      <c r="U327" s="910"/>
      <c r="V327" s="910"/>
    </row>
    <row r="328" spans="1:22" x14ac:dyDescent="0.25">
      <c r="A328" s="772"/>
      <c r="B328" s="767" t="str">
        <f t="shared" si="8"/>
        <v xml:space="preserve"> </v>
      </c>
      <c r="C328" s="768" t="str">
        <f t="shared" si="9"/>
        <v xml:space="preserve"> </v>
      </c>
      <c r="D328" s="486"/>
      <c r="E328" s="308" cm="1">
        <f t="array" ref="E328">_xlfn.XLOOKUP(A328&amp;D328, $A$562:$J$562&amp;$A$563:$J$563, $A$564:$J$564, " ")</f>
        <v>0</v>
      </c>
      <c r="F328" s="872" cm="1">
        <f t="array" ref="F328">_xlfn.XLOOKUP(A328&amp;D328, $A$562:$J$562&amp;$A$563:$J$563, $A$565:$J$565, " ")</f>
        <v>0</v>
      </c>
      <c r="G328" s="510"/>
      <c r="H328" s="840"/>
      <c r="I328" s="510"/>
      <c r="J328" s="510"/>
      <c r="K328" s="511"/>
      <c r="L328" s="510"/>
      <c r="M328" s="580"/>
      <c r="N328" s="580"/>
      <c r="O328" s="580"/>
      <c r="P328" s="910"/>
      <c r="Q328" s="910"/>
      <c r="R328" s="910"/>
      <c r="S328" s="910"/>
      <c r="T328" s="910"/>
      <c r="U328" s="910"/>
      <c r="V328" s="910"/>
    </row>
    <row r="329" spans="1:22" x14ac:dyDescent="0.25">
      <c r="A329" s="772"/>
      <c r="B329" s="767" t="str">
        <f t="shared" si="8"/>
        <v xml:space="preserve"> </v>
      </c>
      <c r="C329" s="768" t="str">
        <f t="shared" si="9"/>
        <v xml:space="preserve"> </v>
      </c>
      <c r="D329" s="486"/>
      <c r="E329" s="308" cm="1">
        <f t="array" ref="E329">_xlfn.XLOOKUP(A329&amp;D329, $A$562:$J$562&amp;$A$563:$J$563, $A$564:$J$564, " ")</f>
        <v>0</v>
      </c>
      <c r="F329" s="872" cm="1">
        <f t="array" ref="F329">_xlfn.XLOOKUP(A329&amp;D329, $A$562:$J$562&amp;$A$563:$J$563, $A$565:$J$565, " ")</f>
        <v>0</v>
      </c>
      <c r="G329" s="510"/>
      <c r="H329" s="840"/>
      <c r="I329" s="510"/>
      <c r="J329" s="510"/>
      <c r="K329" s="511"/>
      <c r="L329" s="510"/>
      <c r="M329" s="580"/>
      <c r="N329" s="580"/>
      <c r="O329" s="580"/>
      <c r="P329" s="910"/>
      <c r="Q329" s="910"/>
      <c r="R329" s="910"/>
      <c r="S329" s="910"/>
      <c r="T329" s="910"/>
      <c r="U329" s="910"/>
      <c r="V329" s="910"/>
    </row>
    <row r="330" spans="1:22" x14ac:dyDescent="0.25">
      <c r="A330" s="772"/>
      <c r="B330" s="767" t="str">
        <f t="shared" si="8"/>
        <v xml:space="preserve"> </v>
      </c>
      <c r="C330" s="768" t="str">
        <f t="shared" si="9"/>
        <v xml:space="preserve"> </v>
      </c>
      <c r="D330" s="486"/>
      <c r="E330" s="308" cm="1">
        <f t="array" ref="E330">_xlfn.XLOOKUP(A330&amp;D330, $A$562:$J$562&amp;$A$563:$J$563, $A$564:$J$564, " ")</f>
        <v>0</v>
      </c>
      <c r="F330" s="872" cm="1">
        <f t="array" ref="F330">_xlfn.XLOOKUP(A330&amp;D330, $A$562:$J$562&amp;$A$563:$J$563, $A$565:$J$565, " ")</f>
        <v>0</v>
      </c>
      <c r="G330" s="510"/>
      <c r="H330" s="840"/>
      <c r="I330" s="510"/>
      <c r="J330" s="510"/>
      <c r="K330" s="511"/>
      <c r="L330" s="510"/>
      <c r="M330" s="580"/>
      <c r="N330" s="580"/>
      <c r="O330" s="580"/>
      <c r="P330" s="910"/>
      <c r="Q330" s="910"/>
      <c r="R330" s="910"/>
      <c r="S330" s="910"/>
      <c r="T330" s="910"/>
      <c r="U330" s="910"/>
      <c r="V330" s="910"/>
    </row>
    <row r="331" spans="1:22" x14ac:dyDescent="0.25">
      <c r="A331" s="772"/>
      <c r="B331" s="767" t="str">
        <f t="shared" ref="B331:B394" si="10">IF(ISBLANK(A331), " ", _xlfn.XLOOKUP(A331,$A$552:$C$552,$A$553:$C$553))</f>
        <v xml:space="preserve"> </v>
      </c>
      <c r="C331" s="768" t="str">
        <f t="shared" ref="C331:C394" si="11">IF(ISBLANK(A331), " ", _xlfn.XLOOKUP(A331,$A$552:$C$552,$A$554:$C$554))</f>
        <v xml:space="preserve"> </v>
      </c>
      <c r="D331" s="486"/>
      <c r="E331" s="308" cm="1">
        <f t="array" ref="E331">_xlfn.XLOOKUP(A331&amp;D331, $A$562:$J$562&amp;$A$563:$J$563, $A$564:$J$564, " ")</f>
        <v>0</v>
      </c>
      <c r="F331" s="872" cm="1">
        <f t="array" ref="F331">_xlfn.XLOOKUP(A331&amp;D331, $A$562:$J$562&amp;$A$563:$J$563, $A$565:$J$565, " ")</f>
        <v>0</v>
      </c>
      <c r="G331" s="510"/>
      <c r="H331" s="840"/>
      <c r="I331" s="510"/>
      <c r="J331" s="510"/>
      <c r="K331" s="511"/>
      <c r="L331" s="510"/>
      <c r="M331" s="580"/>
      <c r="N331" s="580"/>
      <c r="O331" s="580"/>
      <c r="P331" s="910"/>
      <c r="Q331" s="910"/>
      <c r="R331" s="910"/>
      <c r="S331" s="910"/>
      <c r="T331" s="910"/>
      <c r="U331" s="910"/>
      <c r="V331" s="910"/>
    </row>
    <row r="332" spans="1:22" x14ac:dyDescent="0.25">
      <c r="A332" s="772"/>
      <c r="B332" s="767" t="str">
        <f t="shared" si="10"/>
        <v xml:space="preserve"> </v>
      </c>
      <c r="C332" s="768" t="str">
        <f t="shared" si="11"/>
        <v xml:space="preserve"> </v>
      </c>
      <c r="D332" s="486"/>
      <c r="E332" s="308" cm="1">
        <f t="array" ref="E332">_xlfn.XLOOKUP(A332&amp;D332, $A$562:$J$562&amp;$A$563:$J$563, $A$564:$J$564, " ")</f>
        <v>0</v>
      </c>
      <c r="F332" s="872" cm="1">
        <f t="array" ref="F332">_xlfn.XLOOKUP(A332&amp;D332, $A$562:$J$562&amp;$A$563:$J$563, $A$565:$J$565, " ")</f>
        <v>0</v>
      </c>
      <c r="G332" s="510"/>
      <c r="H332" s="840"/>
      <c r="I332" s="510"/>
      <c r="J332" s="510"/>
      <c r="K332" s="511"/>
      <c r="L332" s="510"/>
      <c r="M332" s="580"/>
      <c r="N332" s="580"/>
      <c r="O332" s="580"/>
      <c r="P332" s="910"/>
      <c r="Q332" s="910"/>
      <c r="R332" s="910"/>
      <c r="S332" s="910"/>
      <c r="T332" s="910"/>
      <c r="U332" s="910"/>
      <c r="V332" s="910"/>
    </row>
    <row r="333" spans="1:22" x14ac:dyDescent="0.25">
      <c r="A333" s="772"/>
      <c r="B333" s="767" t="str">
        <f t="shared" si="10"/>
        <v xml:space="preserve"> </v>
      </c>
      <c r="C333" s="768" t="str">
        <f t="shared" si="11"/>
        <v xml:space="preserve"> </v>
      </c>
      <c r="D333" s="486"/>
      <c r="E333" s="308" cm="1">
        <f t="array" ref="E333">_xlfn.XLOOKUP(A333&amp;D333, $A$562:$J$562&amp;$A$563:$J$563, $A$564:$J$564, " ")</f>
        <v>0</v>
      </c>
      <c r="F333" s="872" cm="1">
        <f t="array" ref="F333">_xlfn.XLOOKUP(A333&amp;D333, $A$562:$J$562&amp;$A$563:$J$563, $A$565:$J$565, " ")</f>
        <v>0</v>
      </c>
      <c r="G333" s="510"/>
      <c r="H333" s="840"/>
      <c r="I333" s="510"/>
      <c r="J333" s="510"/>
      <c r="K333" s="511"/>
      <c r="L333" s="510"/>
      <c r="M333" s="580"/>
      <c r="N333" s="580"/>
      <c r="O333" s="580"/>
      <c r="P333" s="910"/>
      <c r="Q333" s="910"/>
      <c r="R333" s="910"/>
      <c r="S333" s="910"/>
      <c r="T333" s="910"/>
      <c r="U333" s="910"/>
      <c r="V333" s="910"/>
    </row>
    <row r="334" spans="1:22" x14ac:dyDescent="0.25">
      <c r="A334" s="772"/>
      <c r="B334" s="767" t="str">
        <f t="shared" si="10"/>
        <v xml:space="preserve"> </v>
      </c>
      <c r="C334" s="768" t="str">
        <f t="shared" si="11"/>
        <v xml:space="preserve"> </v>
      </c>
      <c r="D334" s="486"/>
      <c r="E334" s="308" cm="1">
        <f t="array" ref="E334">_xlfn.XLOOKUP(A334&amp;D334, $A$562:$J$562&amp;$A$563:$J$563, $A$564:$J$564, " ")</f>
        <v>0</v>
      </c>
      <c r="F334" s="872" cm="1">
        <f t="array" ref="F334">_xlfn.XLOOKUP(A334&amp;D334, $A$562:$J$562&amp;$A$563:$J$563, $A$565:$J$565, " ")</f>
        <v>0</v>
      </c>
      <c r="G334" s="510"/>
      <c r="H334" s="840"/>
      <c r="I334" s="510"/>
      <c r="J334" s="510"/>
      <c r="K334" s="511"/>
      <c r="L334" s="510"/>
      <c r="M334" s="580"/>
      <c r="N334" s="580"/>
      <c r="O334" s="580"/>
      <c r="P334" s="910"/>
      <c r="Q334" s="910"/>
      <c r="R334" s="910"/>
      <c r="S334" s="910"/>
      <c r="T334" s="910"/>
      <c r="U334" s="910"/>
      <c r="V334" s="910"/>
    </row>
    <row r="335" spans="1:22" x14ac:dyDescent="0.25">
      <c r="A335" s="772"/>
      <c r="B335" s="767" t="str">
        <f t="shared" si="10"/>
        <v xml:space="preserve"> </v>
      </c>
      <c r="C335" s="768" t="str">
        <f t="shared" si="11"/>
        <v xml:space="preserve"> </v>
      </c>
      <c r="D335" s="486"/>
      <c r="E335" s="308" cm="1">
        <f t="array" ref="E335">_xlfn.XLOOKUP(A335&amp;D335, $A$562:$J$562&amp;$A$563:$J$563, $A$564:$J$564, " ")</f>
        <v>0</v>
      </c>
      <c r="F335" s="872" cm="1">
        <f t="array" ref="F335">_xlfn.XLOOKUP(A335&amp;D335, $A$562:$J$562&amp;$A$563:$J$563, $A$565:$J$565, " ")</f>
        <v>0</v>
      </c>
      <c r="G335" s="510"/>
      <c r="H335" s="840"/>
      <c r="I335" s="510"/>
      <c r="J335" s="510"/>
      <c r="K335" s="511"/>
      <c r="L335" s="510"/>
      <c r="M335" s="580"/>
      <c r="N335" s="580"/>
      <c r="O335" s="580"/>
      <c r="P335" s="910"/>
      <c r="Q335" s="910"/>
      <c r="R335" s="910"/>
      <c r="S335" s="910"/>
      <c r="T335" s="910"/>
      <c r="U335" s="910"/>
      <c r="V335" s="910"/>
    </row>
    <row r="336" spans="1:22" x14ac:dyDescent="0.25">
      <c r="A336" s="772"/>
      <c r="B336" s="767" t="str">
        <f t="shared" si="10"/>
        <v xml:space="preserve"> </v>
      </c>
      <c r="C336" s="768" t="str">
        <f t="shared" si="11"/>
        <v xml:space="preserve"> </v>
      </c>
      <c r="D336" s="486"/>
      <c r="E336" s="308" cm="1">
        <f t="array" ref="E336">_xlfn.XLOOKUP(A336&amp;D336, $A$562:$J$562&amp;$A$563:$J$563, $A$564:$J$564, " ")</f>
        <v>0</v>
      </c>
      <c r="F336" s="872" cm="1">
        <f t="array" ref="F336">_xlfn.XLOOKUP(A336&amp;D336, $A$562:$J$562&amp;$A$563:$J$563, $A$565:$J$565, " ")</f>
        <v>0</v>
      </c>
      <c r="G336" s="510"/>
      <c r="H336" s="840"/>
      <c r="I336" s="510"/>
      <c r="J336" s="510"/>
      <c r="K336" s="511"/>
      <c r="L336" s="510"/>
      <c r="M336" s="580"/>
      <c r="N336" s="580"/>
      <c r="O336" s="580"/>
      <c r="P336" s="910"/>
      <c r="Q336" s="910"/>
      <c r="R336" s="910"/>
      <c r="S336" s="910"/>
      <c r="T336" s="910"/>
      <c r="U336" s="910"/>
      <c r="V336" s="910"/>
    </row>
    <row r="337" spans="1:22" x14ac:dyDescent="0.25">
      <c r="A337" s="772"/>
      <c r="B337" s="767" t="str">
        <f t="shared" si="10"/>
        <v xml:space="preserve"> </v>
      </c>
      <c r="C337" s="768" t="str">
        <f t="shared" si="11"/>
        <v xml:space="preserve"> </v>
      </c>
      <c r="D337" s="486"/>
      <c r="E337" s="308" cm="1">
        <f t="array" ref="E337">_xlfn.XLOOKUP(A337&amp;D337, $A$562:$J$562&amp;$A$563:$J$563, $A$564:$J$564, " ")</f>
        <v>0</v>
      </c>
      <c r="F337" s="872" cm="1">
        <f t="array" ref="F337">_xlfn.XLOOKUP(A337&amp;D337, $A$562:$J$562&amp;$A$563:$J$563, $A$565:$J$565, " ")</f>
        <v>0</v>
      </c>
      <c r="G337" s="510"/>
      <c r="H337" s="840"/>
      <c r="I337" s="510"/>
      <c r="J337" s="510"/>
      <c r="K337" s="511"/>
      <c r="L337" s="510"/>
      <c r="M337" s="580"/>
      <c r="N337" s="580"/>
      <c r="O337" s="580"/>
      <c r="P337" s="910"/>
      <c r="Q337" s="910"/>
      <c r="R337" s="910"/>
      <c r="S337" s="910"/>
      <c r="T337" s="910"/>
      <c r="U337" s="910"/>
      <c r="V337" s="910"/>
    </row>
    <row r="338" spans="1:22" x14ac:dyDescent="0.25">
      <c r="A338" s="772"/>
      <c r="B338" s="767" t="str">
        <f t="shared" si="10"/>
        <v xml:space="preserve"> </v>
      </c>
      <c r="C338" s="768" t="str">
        <f t="shared" si="11"/>
        <v xml:space="preserve"> </v>
      </c>
      <c r="D338" s="486"/>
      <c r="E338" s="308" cm="1">
        <f t="array" ref="E338">_xlfn.XLOOKUP(A338&amp;D338, $A$562:$J$562&amp;$A$563:$J$563, $A$564:$J$564, " ")</f>
        <v>0</v>
      </c>
      <c r="F338" s="872" cm="1">
        <f t="array" ref="F338">_xlfn.XLOOKUP(A338&amp;D338, $A$562:$J$562&amp;$A$563:$J$563, $A$565:$J$565, " ")</f>
        <v>0</v>
      </c>
      <c r="G338" s="510"/>
      <c r="H338" s="840"/>
      <c r="I338" s="510"/>
      <c r="J338" s="510"/>
      <c r="K338" s="511"/>
      <c r="L338" s="510"/>
      <c r="M338" s="580"/>
      <c r="N338" s="580"/>
      <c r="O338" s="580"/>
      <c r="P338" s="910"/>
      <c r="Q338" s="910"/>
      <c r="R338" s="910"/>
      <c r="S338" s="910"/>
      <c r="T338" s="910"/>
      <c r="U338" s="910"/>
      <c r="V338" s="910"/>
    </row>
    <row r="339" spans="1:22" x14ac:dyDescent="0.25">
      <c r="A339" s="772"/>
      <c r="B339" s="767" t="str">
        <f t="shared" si="10"/>
        <v xml:space="preserve"> </v>
      </c>
      <c r="C339" s="768" t="str">
        <f t="shared" si="11"/>
        <v xml:space="preserve"> </v>
      </c>
      <c r="D339" s="486"/>
      <c r="E339" s="308" cm="1">
        <f t="array" ref="E339">_xlfn.XLOOKUP(A339&amp;D339, $A$562:$J$562&amp;$A$563:$J$563, $A$564:$J$564, " ")</f>
        <v>0</v>
      </c>
      <c r="F339" s="872" cm="1">
        <f t="array" ref="F339">_xlfn.XLOOKUP(A339&amp;D339, $A$562:$J$562&amp;$A$563:$J$563, $A$565:$J$565, " ")</f>
        <v>0</v>
      </c>
      <c r="G339" s="510"/>
      <c r="H339" s="840"/>
      <c r="I339" s="510"/>
      <c r="J339" s="510"/>
      <c r="K339" s="511"/>
      <c r="L339" s="510"/>
      <c r="M339" s="580"/>
      <c r="N339" s="580"/>
      <c r="O339" s="580"/>
      <c r="P339" s="910"/>
      <c r="Q339" s="910"/>
      <c r="R339" s="910"/>
      <c r="S339" s="910"/>
      <c r="T339" s="910"/>
      <c r="U339" s="910"/>
      <c r="V339" s="910"/>
    </row>
    <row r="340" spans="1:22" x14ac:dyDescent="0.25">
      <c r="A340" s="772"/>
      <c r="B340" s="767" t="str">
        <f t="shared" si="10"/>
        <v xml:space="preserve"> </v>
      </c>
      <c r="C340" s="768" t="str">
        <f t="shared" si="11"/>
        <v xml:space="preserve"> </v>
      </c>
      <c r="D340" s="486"/>
      <c r="E340" s="308" cm="1">
        <f t="array" ref="E340">_xlfn.XLOOKUP(A340&amp;D340, $A$562:$J$562&amp;$A$563:$J$563, $A$564:$J$564, " ")</f>
        <v>0</v>
      </c>
      <c r="F340" s="872" cm="1">
        <f t="array" ref="F340">_xlfn.XLOOKUP(A340&amp;D340, $A$562:$J$562&amp;$A$563:$J$563, $A$565:$J$565, " ")</f>
        <v>0</v>
      </c>
      <c r="G340" s="510"/>
      <c r="H340" s="840"/>
      <c r="I340" s="510"/>
      <c r="J340" s="510"/>
      <c r="K340" s="511"/>
      <c r="L340" s="510"/>
      <c r="M340" s="580"/>
      <c r="N340" s="580"/>
      <c r="O340" s="580"/>
      <c r="P340" s="910"/>
      <c r="Q340" s="910"/>
      <c r="R340" s="910"/>
      <c r="S340" s="910"/>
      <c r="T340" s="910"/>
      <c r="U340" s="910"/>
      <c r="V340" s="910"/>
    </row>
    <row r="341" spans="1:22" x14ac:dyDescent="0.25">
      <c r="A341" s="772"/>
      <c r="B341" s="767" t="str">
        <f t="shared" si="10"/>
        <v xml:space="preserve"> </v>
      </c>
      <c r="C341" s="768" t="str">
        <f t="shared" si="11"/>
        <v xml:space="preserve"> </v>
      </c>
      <c r="D341" s="486"/>
      <c r="E341" s="308" cm="1">
        <f t="array" ref="E341">_xlfn.XLOOKUP(A341&amp;D341, $A$562:$J$562&amp;$A$563:$J$563, $A$564:$J$564, " ")</f>
        <v>0</v>
      </c>
      <c r="F341" s="872" cm="1">
        <f t="array" ref="F341">_xlfn.XLOOKUP(A341&amp;D341, $A$562:$J$562&amp;$A$563:$J$563, $A$565:$J$565, " ")</f>
        <v>0</v>
      </c>
      <c r="G341" s="510"/>
      <c r="H341" s="840"/>
      <c r="I341" s="510"/>
      <c r="J341" s="510"/>
      <c r="K341" s="511"/>
      <c r="L341" s="510"/>
      <c r="M341" s="580"/>
      <c r="N341" s="580"/>
      <c r="O341" s="580"/>
      <c r="P341" s="910"/>
      <c r="Q341" s="910"/>
      <c r="R341" s="910"/>
      <c r="S341" s="910"/>
      <c r="T341" s="910"/>
      <c r="U341" s="910"/>
      <c r="V341" s="910"/>
    </row>
    <row r="342" spans="1:22" x14ac:dyDescent="0.25">
      <c r="A342" s="772"/>
      <c r="B342" s="767" t="str">
        <f t="shared" si="10"/>
        <v xml:space="preserve"> </v>
      </c>
      <c r="C342" s="768" t="str">
        <f t="shared" si="11"/>
        <v xml:space="preserve"> </v>
      </c>
      <c r="D342" s="486"/>
      <c r="E342" s="308" cm="1">
        <f t="array" ref="E342">_xlfn.XLOOKUP(A342&amp;D342, $A$562:$J$562&amp;$A$563:$J$563, $A$564:$J$564, " ")</f>
        <v>0</v>
      </c>
      <c r="F342" s="872" cm="1">
        <f t="array" ref="F342">_xlfn.XLOOKUP(A342&amp;D342, $A$562:$J$562&amp;$A$563:$J$563, $A$565:$J$565, " ")</f>
        <v>0</v>
      </c>
      <c r="G342" s="510"/>
      <c r="H342" s="840"/>
      <c r="I342" s="510"/>
      <c r="J342" s="510"/>
      <c r="K342" s="511"/>
      <c r="L342" s="510"/>
      <c r="M342" s="580"/>
      <c r="N342" s="580"/>
      <c r="O342" s="580"/>
      <c r="P342" s="910"/>
      <c r="Q342" s="910"/>
      <c r="R342" s="910"/>
      <c r="S342" s="910"/>
      <c r="T342" s="910"/>
      <c r="U342" s="910"/>
      <c r="V342" s="910"/>
    </row>
    <row r="343" spans="1:22" x14ac:dyDescent="0.25">
      <c r="A343" s="772"/>
      <c r="B343" s="767" t="str">
        <f t="shared" si="10"/>
        <v xml:space="preserve"> </v>
      </c>
      <c r="C343" s="768" t="str">
        <f t="shared" si="11"/>
        <v xml:space="preserve"> </v>
      </c>
      <c r="D343" s="486"/>
      <c r="E343" s="308" cm="1">
        <f t="array" ref="E343">_xlfn.XLOOKUP(A343&amp;D343, $A$562:$J$562&amp;$A$563:$J$563, $A$564:$J$564, " ")</f>
        <v>0</v>
      </c>
      <c r="F343" s="872" cm="1">
        <f t="array" ref="F343">_xlfn.XLOOKUP(A343&amp;D343, $A$562:$J$562&amp;$A$563:$J$563, $A$565:$J$565, " ")</f>
        <v>0</v>
      </c>
      <c r="G343" s="510"/>
      <c r="H343" s="840"/>
      <c r="I343" s="510"/>
      <c r="J343" s="510"/>
      <c r="K343" s="511"/>
      <c r="L343" s="510"/>
      <c r="M343" s="580"/>
      <c r="N343" s="580"/>
      <c r="O343" s="580"/>
      <c r="P343" s="910"/>
      <c r="Q343" s="910"/>
      <c r="R343" s="910"/>
      <c r="S343" s="910"/>
      <c r="T343" s="910"/>
      <c r="U343" s="910"/>
      <c r="V343" s="910"/>
    </row>
    <row r="344" spans="1:22" x14ac:dyDescent="0.25">
      <c r="A344" s="772"/>
      <c r="B344" s="767" t="str">
        <f t="shared" si="10"/>
        <v xml:space="preserve"> </v>
      </c>
      <c r="C344" s="768" t="str">
        <f t="shared" si="11"/>
        <v xml:space="preserve"> </v>
      </c>
      <c r="D344" s="486"/>
      <c r="E344" s="308" cm="1">
        <f t="array" ref="E344">_xlfn.XLOOKUP(A344&amp;D344, $A$562:$J$562&amp;$A$563:$J$563, $A$564:$J$564, " ")</f>
        <v>0</v>
      </c>
      <c r="F344" s="872" cm="1">
        <f t="array" ref="F344">_xlfn.XLOOKUP(A344&amp;D344, $A$562:$J$562&amp;$A$563:$J$563, $A$565:$J$565, " ")</f>
        <v>0</v>
      </c>
      <c r="G344" s="510"/>
      <c r="H344" s="840"/>
      <c r="I344" s="510"/>
      <c r="J344" s="510"/>
      <c r="K344" s="511"/>
      <c r="L344" s="510"/>
      <c r="M344" s="580"/>
      <c r="N344" s="580"/>
      <c r="O344" s="580"/>
      <c r="P344" s="910"/>
      <c r="Q344" s="910"/>
      <c r="R344" s="910"/>
      <c r="S344" s="910"/>
      <c r="T344" s="910"/>
      <c r="U344" s="910"/>
      <c r="V344" s="910"/>
    </row>
    <row r="345" spans="1:22" x14ac:dyDescent="0.25">
      <c r="A345" s="772"/>
      <c r="B345" s="767" t="str">
        <f t="shared" si="10"/>
        <v xml:space="preserve"> </v>
      </c>
      <c r="C345" s="768" t="str">
        <f t="shared" si="11"/>
        <v xml:space="preserve"> </v>
      </c>
      <c r="D345" s="486"/>
      <c r="E345" s="308" cm="1">
        <f t="array" ref="E345">_xlfn.XLOOKUP(A345&amp;D345, $A$562:$J$562&amp;$A$563:$J$563, $A$564:$J$564, " ")</f>
        <v>0</v>
      </c>
      <c r="F345" s="872" cm="1">
        <f t="array" ref="F345">_xlfn.XLOOKUP(A345&amp;D345, $A$562:$J$562&amp;$A$563:$J$563, $A$565:$J$565, " ")</f>
        <v>0</v>
      </c>
      <c r="G345" s="510"/>
      <c r="H345" s="840"/>
      <c r="I345" s="510"/>
      <c r="J345" s="510"/>
      <c r="K345" s="511"/>
      <c r="L345" s="510"/>
      <c r="M345" s="580"/>
      <c r="N345" s="580"/>
      <c r="O345" s="580"/>
      <c r="P345" s="910"/>
      <c r="Q345" s="910"/>
      <c r="R345" s="910"/>
      <c r="S345" s="910"/>
      <c r="T345" s="910"/>
      <c r="U345" s="910"/>
      <c r="V345" s="910"/>
    </row>
    <row r="346" spans="1:22" x14ac:dyDescent="0.25">
      <c r="A346" s="772"/>
      <c r="B346" s="767" t="str">
        <f t="shared" si="10"/>
        <v xml:space="preserve"> </v>
      </c>
      <c r="C346" s="768" t="str">
        <f t="shared" si="11"/>
        <v xml:space="preserve"> </v>
      </c>
      <c r="D346" s="486"/>
      <c r="E346" s="308" cm="1">
        <f t="array" ref="E346">_xlfn.XLOOKUP(A346&amp;D346, $A$562:$J$562&amp;$A$563:$J$563, $A$564:$J$564, " ")</f>
        <v>0</v>
      </c>
      <c r="F346" s="872" cm="1">
        <f t="array" ref="F346">_xlfn.XLOOKUP(A346&amp;D346, $A$562:$J$562&amp;$A$563:$J$563, $A$565:$J$565, " ")</f>
        <v>0</v>
      </c>
      <c r="G346" s="510"/>
      <c r="H346" s="840"/>
      <c r="I346" s="510"/>
      <c r="J346" s="510"/>
      <c r="K346" s="511"/>
      <c r="L346" s="510"/>
      <c r="M346" s="580"/>
      <c r="N346" s="580"/>
      <c r="O346" s="580"/>
      <c r="P346" s="910"/>
      <c r="Q346" s="910"/>
      <c r="R346" s="910"/>
      <c r="S346" s="910"/>
      <c r="T346" s="910"/>
      <c r="U346" s="910"/>
      <c r="V346" s="910"/>
    </row>
    <row r="347" spans="1:22" x14ac:dyDescent="0.25">
      <c r="A347" s="772"/>
      <c r="B347" s="767" t="str">
        <f t="shared" si="10"/>
        <v xml:space="preserve"> </v>
      </c>
      <c r="C347" s="768" t="str">
        <f t="shared" si="11"/>
        <v xml:space="preserve"> </v>
      </c>
      <c r="D347" s="486"/>
      <c r="E347" s="308" cm="1">
        <f t="array" ref="E347">_xlfn.XLOOKUP(A347&amp;D347, $A$562:$J$562&amp;$A$563:$J$563, $A$564:$J$564, " ")</f>
        <v>0</v>
      </c>
      <c r="F347" s="872" cm="1">
        <f t="array" ref="F347">_xlfn.XLOOKUP(A347&amp;D347, $A$562:$J$562&amp;$A$563:$J$563, $A$565:$J$565, " ")</f>
        <v>0</v>
      </c>
      <c r="G347" s="510"/>
      <c r="H347" s="840"/>
      <c r="I347" s="510"/>
      <c r="J347" s="510"/>
      <c r="K347" s="511"/>
      <c r="L347" s="510"/>
      <c r="M347" s="580"/>
      <c r="N347" s="580"/>
      <c r="O347" s="580"/>
      <c r="P347" s="910"/>
      <c r="Q347" s="910"/>
      <c r="R347" s="910"/>
      <c r="S347" s="910"/>
      <c r="T347" s="910"/>
      <c r="U347" s="910"/>
      <c r="V347" s="910"/>
    </row>
    <row r="348" spans="1:22" x14ac:dyDescent="0.25">
      <c r="A348" s="772"/>
      <c r="B348" s="767" t="str">
        <f t="shared" si="10"/>
        <v xml:space="preserve"> </v>
      </c>
      <c r="C348" s="768" t="str">
        <f t="shared" si="11"/>
        <v xml:space="preserve"> </v>
      </c>
      <c r="D348" s="486"/>
      <c r="E348" s="308" cm="1">
        <f t="array" ref="E348">_xlfn.XLOOKUP(A348&amp;D348, $A$562:$J$562&amp;$A$563:$J$563, $A$564:$J$564, " ")</f>
        <v>0</v>
      </c>
      <c r="F348" s="872" cm="1">
        <f t="array" ref="F348">_xlfn.XLOOKUP(A348&amp;D348, $A$562:$J$562&amp;$A$563:$J$563, $A$565:$J$565, " ")</f>
        <v>0</v>
      </c>
      <c r="G348" s="510"/>
      <c r="H348" s="840"/>
      <c r="I348" s="510"/>
      <c r="J348" s="510"/>
      <c r="K348" s="511"/>
      <c r="L348" s="510"/>
      <c r="M348" s="580"/>
      <c r="N348" s="580"/>
      <c r="O348" s="580"/>
      <c r="P348" s="910"/>
      <c r="Q348" s="910"/>
      <c r="R348" s="910"/>
      <c r="S348" s="910"/>
      <c r="T348" s="910"/>
      <c r="U348" s="910"/>
      <c r="V348" s="910"/>
    </row>
    <row r="349" spans="1:22" x14ac:dyDescent="0.25">
      <c r="A349" s="772"/>
      <c r="B349" s="767" t="str">
        <f t="shared" si="10"/>
        <v xml:space="preserve"> </v>
      </c>
      <c r="C349" s="768" t="str">
        <f t="shared" si="11"/>
        <v xml:space="preserve"> </v>
      </c>
      <c r="D349" s="486"/>
      <c r="E349" s="308" cm="1">
        <f t="array" ref="E349">_xlfn.XLOOKUP(A349&amp;D349, $A$562:$J$562&amp;$A$563:$J$563, $A$564:$J$564, " ")</f>
        <v>0</v>
      </c>
      <c r="F349" s="872" cm="1">
        <f t="array" ref="F349">_xlfn.XLOOKUP(A349&amp;D349, $A$562:$J$562&amp;$A$563:$J$563, $A$565:$J$565, " ")</f>
        <v>0</v>
      </c>
      <c r="G349" s="510"/>
      <c r="H349" s="840"/>
      <c r="I349" s="510"/>
      <c r="J349" s="510"/>
      <c r="K349" s="511"/>
      <c r="L349" s="510"/>
      <c r="M349" s="580"/>
      <c r="N349" s="580"/>
      <c r="O349" s="580"/>
      <c r="P349" s="910"/>
      <c r="Q349" s="910"/>
      <c r="R349" s="910"/>
      <c r="S349" s="910"/>
      <c r="T349" s="910"/>
      <c r="U349" s="910"/>
      <c r="V349" s="910"/>
    </row>
    <row r="350" spans="1:22" x14ac:dyDescent="0.25">
      <c r="A350" s="772"/>
      <c r="B350" s="767" t="str">
        <f t="shared" si="10"/>
        <v xml:space="preserve"> </v>
      </c>
      <c r="C350" s="768" t="str">
        <f t="shared" si="11"/>
        <v xml:space="preserve"> </v>
      </c>
      <c r="D350" s="486"/>
      <c r="E350" s="308" cm="1">
        <f t="array" ref="E350">_xlfn.XLOOKUP(A350&amp;D350, $A$562:$J$562&amp;$A$563:$J$563, $A$564:$J$564, " ")</f>
        <v>0</v>
      </c>
      <c r="F350" s="872" cm="1">
        <f t="array" ref="F350">_xlfn.XLOOKUP(A350&amp;D350, $A$562:$J$562&amp;$A$563:$J$563, $A$565:$J$565, " ")</f>
        <v>0</v>
      </c>
      <c r="G350" s="510"/>
      <c r="H350" s="840"/>
      <c r="I350" s="510"/>
      <c r="J350" s="510"/>
      <c r="K350" s="511"/>
      <c r="L350" s="510"/>
      <c r="M350" s="580"/>
      <c r="N350" s="580"/>
      <c r="O350" s="580"/>
      <c r="P350" s="910"/>
      <c r="Q350" s="910"/>
      <c r="R350" s="910"/>
      <c r="S350" s="910"/>
      <c r="T350" s="910"/>
      <c r="U350" s="910"/>
      <c r="V350" s="910"/>
    </row>
    <row r="351" spans="1:22" x14ac:dyDescent="0.25">
      <c r="A351" s="772"/>
      <c r="B351" s="767" t="str">
        <f t="shared" si="10"/>
        <v xml:space="preserve"> </v>
      </c>
      <c r="C351" s="768" t="str">
        <f t="shared" si="11"/>
        <v xml:space="preserve"> </v>
      </c>
      <c r="D351" s="486"/>
      <c r="E351" s="308" cm="1">
        <f t="array" ref="E351">_xlfn.XLOOKUP(A351&amp;D351, $A$562:$J$562&amp;$A$563:$J$563, $A$564:$J$564, " ")</f>
        <v>0</v>
      </c>
      <c r="F351" s="872" cm="1">
        <f t="array" ref="F351">_xlfn.XLOOKUP(A351&amp;D351, $A$562:$J$562&amp;$A$563:$J$563, $A$565:$J$565, " ")</f>
        <v>0</v>
      </c>
      <c r="G351" s="510"/>
      <c r="H351" s="840"/>
      <c r="I351" s="510"/>
      <c r="J351" s="510"/>
      <c r="K351" s="511"/>
      <c r="L351" s="510"/>
      <c r="M351" s="580"/>
      <c r="N351" s="580"/>
      <c r="O351" s="580"/>
      <c r="P351" s="910"/>
      <c r="Q351" s="910"/>
      <c r="R351" s="910"/>
      <c r="S351" s="910"/>
      <c r="T351" s="910"/>
      <c r="U351" s="910"/>
      <c r="V351" s="910"/>
    </row>
    <row r="352" spans="1:22" x14ac:dyDescent="0.25">
      <c r="A352" s="772"/>
      <c r="B352" s="767" t="str">
        <f t="shared" si="10"/>
        <v xml:space="preserve"> </v>
      </c>
      <c r="C352" s="768" t="str">
        <f t="shared" si="11"/>
        <v xml:space="preserve"> </v>
      </c>
      <c r="D352" s="486"/>
      <c r="E352" s="308" cm="1">
        <f t="array" ref="E352">_xlfn.XLOOKUP(A352&amp;D352, $A$562:$J$562&amp;$A$563:$J$563, $A$564:$J$564, " ")</f>
        <v>0</v>
      </c>
      <c r="F352" s="872" cm="1">
        <f t="array" ref="F352">_xlfn.XLOOKUP(A352&amp;D352, $A$562:$J$562&amp;$A$563:$J$563, $A$565:$J$565, " ")</f>
        <v>0</v>
      </c>
      <c r="G352" s="510"/>
      <c r="H352" s="840"/>
      <c r="I352" s="510"/>
      <c r="J352" s="510"/>
      <c r="K352" s="511"/>
      <c r="L352" s="510"/>
      <c r="M352" s="580"/>
      <c r="N352" s="580"/>
      <c r="O352" s="580"/>
      <c r="P352" s="910"/>
      <c r="Q352" s="910"/>
      <c r="R352" s="910"/>
      <c r="S352" s="910"/>
      <c r="T352" s="910"/>
      <c r="U352" s="910"/>
      <c r="V352" s="910"/>
    </row>
    <row r="353" spans="1:22" x14ac:dyDescent="0.25">
      <c r="A353" s="772"/>
      <c r="B353" s="767" t="str">
        <f t="shared" si="10"/>
        <v xml:space="preserve"> </v>
      </c>
      <c r="C353" s="768" t="str">
        <f t="shared" si="11"/>
        <v xml:space="preserve"> </v>
      </c>
      <c r="D353" s="486"/>
      <c r="E353" s="308" cm="1">
        <f t="array" ref="E353">_xlfn.XLOOKUP(A353&amp;D353, $A$562:$J$562&amp;$A$563:$J$563, $A$564:$J$564, " ")</f>
        <v>0</v>
      </c>
      <c r="F353" s="872" cm="1">
        <f t="array" ref="F353">_xlfn.XLOOKUP(A353&amp;D353, $A$562:$J$562&amp;$A$563:$J$563, $A$565:$J$565, " ")</f>
        <v>0</v>
      </c>
      <c r="G353" s="510"/>
      <c r="H353" s="840"/>
      <c r="I353" s="510"/>
      <c r="J353" s="510"/>
      <c r="K353" s="511"/>
      <c r="L353" s="510"/>
      <c r="M353" s="580"/>
      <c r="N353" s="580"/>
      <c r="O353" s="580"/>
      <c r="P353" s="910"/>
      <c r="Q353" s="910"/>
      <c r="R353" s="910"/>
      <c r="S353" s="910"/>
      <c r="T353" s="910"/>
      <c r="U353" s="910"/>
      <c r="V353" s="910"/>
    </row>
    <row r="354" spans="1:22" x14ac:dyDescent="0.25">
      <c r="A354" s="772"/>
      <c r="B354" s="767" t="str">
        <f t="shared" si="10"/>
        <v xml:space="preserve"> </v>
      </c>
      <c r="C354" s="768" t="str">
        <f t="shared" si="11"/>
        <v xml:space="preserve"> </v>
      </c>
      <c r="D354" s="486"/>
      <c r="E354" s="308" cm="1">
        <f t="array" ref="E354">_xlfn.XLOOKUP(A354&amp;D354, $A$562:$J$562&amp;$A$563:$J$563, $A$564:$J$564, " ")</f>
        <v>0</v>
      </c>
      <c r="F354" s="872" cm="1">
        <f t="array" ref="F354">_xlfn.XLOOKUP(A354&amp;D354, $A$562:$J$562&amp;$A$563:$J$563, $A$565:$J$565, " ")</f>
        <v>0</v>
      </c>
      <c r="G354" s="510"/>
      <c r="H354" s="840"/>
      <c r="I354" s="510"/>
      <c r="J354" s="510"/>
      <c r="K354" s="511"/>
      <c r="L354" s="510"/>
      <c r="M354" s="580"/>
      <c r="N354" s="580"/>
      <c r="O354" s="580"/>
      <c r="P354" s="910"/>
      <c r="Q354" s="910"/>
      <c r="R354" s="910"/>
      <c r="S354" s="910"/>
      <c r="T354" s="910"/>
      <c r="U354" s="910"/>
      <c r="V354" s="910"/>
    </row>
    <row r="355" spans="1:22" x14ac:dyDescent="0.25">
      <c r="A355" s="772"/>
      <c r="B355" s="767" t="str">
        <f t="shared" si="10"/>
        <v xml:space="preserve"> </v>
      </c>
      <c r="C355" s="768" t="str">
        <f t="shared" si="11"/>
        <v xml:space="preserve"> </v>
      </c>
      <c r="D355" s="486"/>
      <c r="E355" s="308" cm="1">
        <f t="array" ref="E355">_xlfn.XLOOKUP(A355&amp;D355, $A$562:$J$562&amp;$A$563:$J$563, $A$564:$J$564, " ")</f>
        <v>0</v>
      </c>
      <c r="F355" s="872" cm="1">
        <f t="array" ref="F355">_xlfn.XLOOKUP(A355&amp;D355, $A$562:$J$562&amp;$A$563:$J$563, $A$565:$J$565, " ")</f>
        <v>0</v>
      </c>
      <c r="G355" s="510"/>
      <c r="H355" s="840"/>
      <c r="I355" s="510"/>
      <c r="J355" s="510"/>
      <c r="K355" s="511"/>
      <c r="L355" s="510"/>
      <c r="M355" s="580"/>
      <c r="N355" s="580"/>
      <c r="O355" s="580"/>
      <c r="P355" s="910"/>
      <c r="Q355" s="910"/>
      <c r="R355" s="910"/>
      <c r="S355" s="910"/>
      <c r="T355" s="910"/>
      <c r="U355" s="910"/>
      <c r="V355" s="910"/>
    </row>
    <row r="356" spans="1:22" x14ac:dyDescent="0.25">
      <c r="A356" s="772"/>
      <c r="B356" s="767" t="str">
        <f t="shared" si="10"/>
        <v xml:space="preserve"> </v>
      </c>
      <c r="C356" s="768" t="str">
        <f t="shared" si="11"/>
        <v xml:space="preserve"> </v>
      </c>
      <c r="D356" s="486"/>
      <c r="E356" s="308" cm="1">
        <f t="array" ref="E356">_xlfn.XLOOKUP(A356&amp;D356, $A$562:$J$562&amp;$A$563:$J$563, $A$564:$J$564, " ")</f>
        <v>0</v>
      </c>
      <c r="F356" s="872" cm="1">
        <f t="array" ref="F356">_xlfn.XLOOKUP(A356&amp;D356, $A$562:$J$562&amp;$A$563:$J$563, $A$565:$J$565, " ")</f>
        <v>0</v>
      </c>
      <c r="G356" s="510"/>
      <c r="H356" s="840"/>
      <c r="I356" s="510"/>
      <c r="J356" s="510"/>
      <c r="K356" s="511"/>
      <c r="L356" s="510"/>
      <c r="M356" s="580"/>
      <c r="N356" s="580"/>
      <c r="O356" s="580"/>
      <c r="P356" s="910"/>
      <c r="Q356" s="910"/>
      <c r="R356" s="910"/>
      <c r="S356" s="910"/>
      <c r="T356" s="910"/>
      <c r="U356" s="910"/>
      <c r="V356" s="910"/>
    </row>
    <row r="357" spans="1:22" x14ac:dyDescent="0.25">
      <c r="A357" s="772"/>
      <c r="B357" s="767" t="str">
        <f t="shared" si="10"/>
        <v xml:space="preserve"> </v>
      </c>
      <c r="C357" s="768" t="str">
        <f t="shared" si="11"/>
        <v xml:space="preserve"> </v>
      </c>
      <c r="D357" s="486"/>
      <c r="E357" s="308" cm="1">
        <f t="array" ref="E357">_xlfn.XLOOKUP(A357&amp;D357, $A$562:$J$562&amp;$A$563:$J$563, $A$564:$J$564, " ")</f>
        <v>0</v>
      </c>
      <c r="F357" s="872" cm="1">
        <f t="array" ref="F357">_xlfn.XLOOKUP(A357&amp;D357, $A$562:$J$562&amp;$A$563:$J$563, $A$565:$J$565, " ")</f>
        <v>0</v>
      </c>
      <c r="G357" s="510"/>
      <c r="H357" s="840"/>
      <c r="I357" s="510"/>
      <c r="J357" s="510"/>
      <c r="K357" s="511"/>
      <c r="L357" s="510"/>
      <c r="M357" s="580"/>
      <c r="N357" s="580"/>
      <c r="O357" s="580"/>
      <c r="P357" s="910"/>
      <c r="Q357" s="910"/>
      <c r="R357" s="910"/>
      <c r="S357" s="910"/>
      <c r="T357" s="910"/>
      <c r="U357" s="910"/>
      <c r="V357" s="910"/>
    </row>
    <row r="358" spans="1:22" x14ac:dyDescent="0.25">
      <c r="A358" s="772"/>
      <c r="B358" s="767" t="str">
        <f t="shared" si="10"/>
        <v xml:space="preserve"> </v>
      </c>
      <c r="C358" s="768" t="str">
        <f t="shared" si="11"/>
        <v xml:space="preserve"> </v>
      </c>
      <c r="D358" s="486"/>
      <c r="E358" s="308" cm="1">
        <f t="array" ref="E358">_xlfn.XLOOKUP(A358&amp;D358, $A$562:$J$562&amp;$A$563:$J$563, $A$564:$J$564, " ")</f>
        <v>0</v>
      </c>
      <c r="F358" s="872" cm="1">
        <f t="array" ref="F358">_xlfn.XLOOKUP(A358&amp;D358, $A$562:$J$562&amp;$A$563:$J$563, $A$565:$J$565, " ")</f>
        <v>0</v>
      </c>
      <c r="G358" s="510"/>
      <c r="H358" s="840"/>
      <c r="I358" s="510"/>
      <c r="J358" s="510"/>
      <c r="K358" s="511"/>
      <c r="L358" s="510"/>
      <c r="M358" s="580"/>
      <c r="N358" s="580"/>
      <c r="O358" s="580"/>
      <c r="P358" s="910"/>
      <c r="Q358" s="910"/>
      <c r="R358" s="910"/>
      <c r="S358" s="910"/>
      <c r="T358" s="910"/>
      <c r="U358" s="910"/>
      <c r="V358" s="910"/>
    </row>
    <row r="359" spans="1:22" x14ac:dyDescent="0.25">
      <c r="A359" s="772"/>
      <c r="B359" s="767" t="str">
        <f t="shared" si="10"/>
        <v xml:space="preserve"> </v>
      </c>
      <c r="C359" s="768" t="str">
        <f t="shared" si="11"/>
        <v xml:space="preserve"> </v>
      </c>
      <c r="D359" s="486"/>
      <c r="E359" s="308" cm="1">
        <f t="array" ref="E359">_xlfn.XLOOKUP(A359&amp;D359, $A$562:$J$562&amp;$A$563:$J$563, $A$564:$J$564, " ")</f>
        <v>0</v>
      </c>
      <c r="F359" s="872" cm="1">
        <f t="array" ref="F359">_xlfn.XLOOKUP(A359&amp;D359, $A$562:$J$562&amp;$A$563:$J$563, $A$565:$J$565, " ")</f>
        <v>0</v>
      </c>
      <c r="G359" s="510"/>
      <c r="H359" s="840"/>
      <c r="I359" s="510"/>
      <c r="J359" s="510"/>
      <c r="K359" s="511"/>
      <c r="L359" s="510"/>
      <c r="M359" s="580"/>
      <c r="N359" s="580"/>
      <c r="O359" s="580"/>
      <c r="P359" s="910"/>
      <c r="Q359" s="910"/>
      <c r="R359" s="910"/>
      <c r="S359" s="910"/>
      <c r="T359" s="910"/>
      <c r="U359" s="910"/>
      <c r="V359" s="910"/>
    </row>
    <row r="360" spans="1:22" x14ac:dyDescent="0.25">
      <c r="A360" s="772"/>
      <c r="B360" s="767" t="str">
        <f t="shared" si="10"/>
        <v xml:space="preserve"> </v>
      </c>
      <c r="C360" s="768" t="str">
        <f t="shared" si="11"/>
        <v xml:space="preserve"> </v>
      </c>
      <c r="D360" s="486"/>
      <c r="E360" s="308" cm="1">
        <f t="array" ref="E360">_xlfn.XLOOKUP(A360&amp;D360, $A$562:$J$562&amp;$A$563:$J$563, $A$564:$J$564, " ")</f>
        <v>0</v>
      </c>
      <c r="F360" s="872" cm="1">
        <f t="array" ref="F360">_xlfn.XLOOKUP(A360&amp;D360, $A$562:$J$562&amp;$A$563:$J$563, $A$565:$J$565, " ")</f>
        <v>0</v>
      </c>
      <c r="G360" s="510"/>
      <c r="H360" s="840"/>
      <c r="I360" s="510"/>
      <c r="J360" s="510"/>
      <c r="K360" s="511"/>
      <c r="L360" s="510"/>
      <c r="M360" s="580"/>
      <c r="N360" s="580"/>
      <c r="O360" s="580"/>
      <c r="P360" s="910"/>
      <c r="Q360" s="910"/>
      <c r="R360" s="910"/>
      <c r="S360" s="910"/>
      <c r="T360" s="910"/>
      <c r="U360" s="910"/>
      <c r="V360" s="910"/>
    </row>
    <row r="361" spans="1:22" x14ac:dyDescent="0.25">
      <c r="A361" s="772"/>
      <c r="B361" s="767" t="str">
        <f t="shared" si="10"/>
        <v xml:space="preserve"> </v>
      </c>
      <c r="C361" s="768" t="str">
        <f t="shared" si="11"/>
        <v xml:space="preserve"> </v>
      </c>
      <c r="D361" s="486"/>
      <c r="E361" s="308" cm="1">
        <f t="array" ref="E361">_xlfn.XLOOKUP(A361&amp;D361, $A$562:$J$562&amp;$A$563:$J$563, $A$564:$J$564, " ")</f>
        <v>0</v>
      </c>
      <c r="F361" s="872" cm="1">
        <f t="array" ref="F361">_xlfn.XLOOKUP(A361&amp;D361, $A$562:$J$562&amp;$A$563:$J$563, $A$565:$J$565, " ")</f>
        <v>0</v>
      </c>
      <c r="G361" s="510"/>
      <c r="H361" s="840"/>
      <c r="I361" s="510"/>
      <c r="J361" s="510"/>
      <c r="K361" s="511"/>
      <c r="L361" s="510"/>
      <c r="M361" s="580"/>
      <c r="N361" s="580"/>
      <c r="O361" s="580"/>
      <c r="P361" s="910"/>
      <c r="Q361" s="910"/>
      <c r="R361" s="910"/>
      <c r="S361" s="910"/>
      <c r="T361" s="910"/>
      <c r="U361" s="910"/>
      <c r="V361" s="910"/>
    </row>
    <row r="362" spans="1:22" x14ac:dyDescent="0.25">
      <c r="A362" s="772"/>
      <c r="B362" s="767" t="str">
        <f t="shared" si="10"/>
        <v xml:space="preserve"> </v>
      </c>
      <c r="C362" s="768" t="str">
        <f t="shared" si="11"/>
        <v xml:space="preserve"> </v>
      </c>
      <c r="D362" s="486"/>
      <c r="E362" s="308" cm="1">
        <f t="array" ref="E362">_xlfn.XLOOKUP(A362&amp;D362, $A$562:$J$562&amp;$A$563:$J$563, $A$564:$J$564, " ")</f>
        <v>0</v>
      </c>
      <c r="F362" s="872" cm="1">
        <f t="array" ref="F362">_xlfn.XLOOKUP(A362&amp;D362, $A$562:$J$562&amp;$A$563:$J$563, $A$565:$J$565, " ")</f>
        <v>0</v>
      </c>
      <c r="G362" s="510"/>
      <c r="H362" s="840"/>
      <c r="I362" s="510"/>
      <c r="J362" s="510"/>
      <c r="K362" s="511"/>
      <c r="L362" s="510"/>
      <c r="M362" s="580"/>
      <c r="N362" s="580"/>
      <c r="O362" s="580"/>
      <c r="P362" s="910"/>
      <c r="Q362" s="910"/>
      <c r="R362" s="910"/>
      <c r="S362" s="910"/>
      <c r="T362" s="910"/>
      <c r="U362" s="910"/>
      <c r="V362" s="910"/>
    </row>
    <row r="363" spans="1:22" x14ac:dyDescent="0.25">
      <c r="A363" s="772"/>
      <c r="B363" s="767" t="str">
        <f t="shared" si="10"/>
        <v xml:space="preserve"> </v>
      </c>
      <c r="C363" s="768" t="str">
        <f t="shared" si="11"/>
        <v xml:space="preserve"> </v>
      </c>
      <c r="D363" s="486"/>
      <c r="E363" s="308" cm="1">
        <f t="array" ref="E363">_xlfn.XLOOKUP(A363&amp;D363, $A$562:$J$562&amp;$A$563:$J$563, $A$564:$J$564, " ")</f>
        <v>0</v>
      </c>
      <c r="F363" s="872" cm="1">
        <f t="array" ref="F363">_xlfn.XLOOKUP(A363&amp;D363, $A$562:$J$562&amp;$A$563:$J$563, $A$565:$J$565, " ")</f>
        <v>0</v>
      </c>
      <c r="G363" s="510"/>
      <c r="H363" s="840"/>
      <c r="I363" s="510"/>
      <c r="J363" s="510"/>
      <c r="K363" s="511"/>
      <c r="L363" s="510"/>
      <c r="M363" s="580"/>
      <c r="N363" s="580"/>
      <c r="O363" s="580"/>
      <c r="P363" s="910"/>
      <c r="Q363" s="910"/>
      <c r="R363" s="910"/>
      <c r="S363" s="910"/>
      <c r="T363" s="910"/>
      <c r="U363" s="910"/>
      <c r="V363" s="910"/>
    </row>
    <row r="364" spans="1:22" x14ac:dyDescent="0.25">
      <c r="A364" s="772"/>
      <c r="B364" s="767" t="str">
        <f t="shared" si="10"/>
        <v xml:space="preserve"> </v>
      </c>
      <c r="C364" s="768" t="str">
        <f t="shared" si="11"/>
        <v xml:space="preserve"> </v>
      </c>
      <c r="D364" s="486"/>
      <c r="E364" s="308" cm="1">
        <f t="array" ref="E364">_xlfn.XLOOKUP(A364&amp;D364, $A$562:$J$562&amp;$A$563:$J$563, $A$564:$J$564, " ")</f>
        <v>0</v>
      </c>
      <c r="F364" s="872" cm="1">
        <f t="array" ref="F364">_xlfn.XLOOKUP(A364&amp;D364, $A$562:$J$562&amp;$A$563:$J$563, $A$565:$J$565, " ")</f>
        <v>0</v>
      </c>
      <c r="G364" s="510"/>
      <c r="H364" s="840"/>
      <c r="I364" s="510"/>
      <c r="J364" s="510"/>
      <c r="K364" s="511"/>
      <c r="L364" s="510"/>
      <c r="M364" s="580"/>
      <c r="N364" s="580"/>
      <c r="O364" s="580"/>
      <c r="P364" s="910"/>
      <c r="Q364" s="910"/>
      <c r="R364" s="910"/>
      <c r="S364" s="910"/>
      <c r="T364" s="910"/>
      <c r="U364" s="910"/>
      <c r="V364" s="910"/>
    </row>
    <row r="365" spans="1:22" x14ac:dyDescent="0.25">
      <c r="A365" s="772"/>
      <c r="B365" s="767" t="str">
        <f t="shared" si="10"/>
        <v xml:space="preserve"> </v>
      </c>
      <c r="C365" s="768" t="str">
        <f t="shared" si="11"/>
        <v xml:space="preserve"> </v>
      </c>
      <c r="D365" s="486"/>
      <c r="E365" s="308" cm="1">
        <f t="array" ref="E365">_xlfn.XLOOKUP(A365&amp;D365, $A$562:$J$562&amp;$A$563:$J$563, $A$564:$J$564, " ")</f>
        <v>0</v>
      </c>
      <c r="F365" s="872" cm="1">
        <f t="array" ref="F365">_xlfn.XLOOKUP(A365&amp;D365, $A$562:$J$562&amp;$A$563:$J$563, $A$565:$J$565, " ")</f>
        <v>0</v>
      </c>
      <c r="G365" s="510"/>
      <c r="H365" s="840"/>
      <c r="I365" s="510"/>
      <c r="J365" s="510"/>
      <c r="K365" s="511"/>
      <c r="L365" s="510"/>
      <c r="M365" s="580"/>
      <c r="N365" s="580"/>
      <c r="O365" s="580"/>
      <c r="P365" s="910"/>
      <c r="Q365" s="910"/>
      <c r="R365" s="910"/>
      <c r="S365" s="910"/>
      <c r="T365" s="910"/>
      <c r="U365" s="910"/>
      <c r="V365" s="910"/>
    </row>
    <row r="366" spans="1:22" x14ac:dyDescent="0.25">
      <c r="A366" s="772"/>
      <c r="B366" s="767" t="str">
        <f t="shared" si="10"/>
        <v xml:space="preserve"> </v>
      </c>
      <c r="C366" s="768" t="str">
        <f t="shared" si="11"/>
        <v xml:space="preserve"> </v>
      </c>
      <c r="D366" s="486"/>
      <c r="E366" s="308" cm="1">
        <f t="array" ref="E366">_xlfn.XLOOKUP(A366&amp;D366, $A$562:$J$562&amp;$A$563:$J$563, $A$564:$J$564, " ")</f>
        <v>0</v>
      </c>
      <c r="F366" s="872" cm="1">
        <f t="array" ref="F366">_xlfn.XLOOKUP(A366&amp;D366, $A$562:$J$562&amp;$A$563:$J$563, $A$565:$J$565, " ")</f>
        <v>0</v>
      </c>
      <c r="G366" s="510"/>
      <c r="H366" s="840"/>
      <c r="I366" s="510"/>
      <c r="J366" s="510"/>
      <c r="K366" s="511"/>
      <c r="L366" s="510"/>
      <c r="M366" s="580"/>
      <c r="N366" s="580"/>
      <c r="O366" s="580"/>
      <c r="P366" s="910"/>
      <c r="Q366" s="910"/>
      <c r="R366" s="910"/>
      <c r="S366" s="910"/>
      <c r="T366" s="910"/>
      <c r="U366" s="910"/>
      <c r="V366" s="910"/>
    </row>
    <row r="367" spans="1:22" x14ac:dyDescent="0.25">
      <c r="A367" s="772"/>
      <c r="B367" s="767" t="str">
        <f t="shared" si="10"/>
        <v xml:space="preserve"> </v>
      </c>
      <c r="C367" s="768" t="str">
        <f t="shared" si="11"/>
        <v xml:space="preserve"> </v>
      </c>
      <c r="D367" s="486"/>
      <c r="E367" s="308" cm="1">
        <f t="array" ref="E367">_xlfn.XLOOKUP(A367&amp;D367, $A$562:$J$562&amp;$A$563:$J$563, $A$564:$J$564, " ")</f>
        <v>0</v>
      </c>
      <c r="F367" s="872" cm="1">
        <f t="array" ref="F367">_xlfn.XLOOKUP(A367&amp;D367, $A$562:$J$562&amp;$A$563:$J$563, $A$565:$J$565, " ")</f>
        <v>0</v>
      </c>
      <c r="G367" s="510"/>
      <c r="H367" s="840"/>
      <c r="I367" s="510"/>
      <c r="J367" s="510"/>
      <c r="K367" s="511"/>
      <c r="L367" s="510"/>
      <c r="M367" s="580"/>
      <c r="N367" s="580"/>
      <c r="O367" s="580"/>
      <c r="P367" s="910"/>
      <c r="Q367" s="910"/>
      <c r="R367" s="910"/>
      <c r="S367" s="910"/>
      <c r="T367" s="910"/>
      <c r="U367" s="910"/>
      <c r="V367" s="910"/>
    </row>
    <row r="368" spans="1:22" x14ac:dyDescent="0.25">
      <c r="A368" s="772"/>
      <c r="B368" s="767" t="str">
        <f t="shared" si="10"/>
        <v xml:space="preserve"> </v>
      </c>
      <c r="C368" s="768" t="str">
        <f t="shared" si="11"/>
        <v xml:space="preserve"> </v>
      </c>
      <c r="D368" s="486"/>
      <c r="E368" s="308" cm="1">
        <f t="array" ref="E368">_xlfn.XLOOKUP(A368&amp;D368, $A$562:$J$562&amp;$A$563:$J$563, $A$564:$J$564, " ")</f>
        <v>0</v>
      </c>
      <c r="F368" s="872" cm="1">
        <f t="array" ref="F368">_xlfn.XLOOKUP(A368&amp;D368, $A$562:$J$562&amp;$A$563:$J$563, $A$565:$J$565, " ")</f>
        <v>0</v>
      </c>
      <c r="G368" s="510"/>
      <c r="H368" s="840"/>
      <c r="I368" s="510"/>
      <c r="J368" s="510"/>
      <c r="K368" s="511"/>
      <c r="L368" s="510"/>
      <c r="M368" s="580"/>
      <c r="N368" s="580"/>
      <c r="O368" s="580"/>
      <c r="P368" s="910"/>
      <c r="Q368" s="910"/>
      <c r="R368" s="910"/>
      <c r="S368" s="910"/>
      <c r="T368" s="910"/>
      <c r="U368" s="910"/>
      <c r="V368" s="910"/>
    </row>
    <row r="369" spans="1:22" x14ac:dyDescent="0.25">
      <c r="A369" s="772"/>
      <c r="B369" s="767" t="str">
        <f t="shared" si="10"/>
        <v xml:space="preserve"> </v>
      </c>
      <c r="C369" s="768" t="str">
        <f t="shared" si="11"/>
        <v xml:space="preserve"> </v>
      </c>
      <c r="D369" s="486"/>
      <c r="E369" s="308" cm="1">
        <f t="array" ref="E369">_xlfn.XLOOKUP(A369&amp;D369, $A$562:$J$562&amp;$A$563:$J$563, $A$564:$J$564, " ")</f>
        <v>0</v>
      </c>
      <c r="F369" s="872" cm="1">
        <f t="array" ref="F369">_xlfn.XLOOKUP(A369&amp;D369, $A$562:$J$562&amp;$A$563:$J$563, $A$565:$J$565, " ")</f>
        <v>0</v>
      </c>
      <c r="G369" s="510"/>
      <c r="H369" s="840"/>
      <c r="I369" s="510"/>
      <c r="J369" s="510"/>
      <c r="K369" s="511"/>
      <c r="L369" s="510"/>
      <c r="M369" s="580"/>
      <c r="N369" s="580"/>
      <c r="O369" s="580"/>
      <c r="P369" s="910"/>
      <c r="Q369" s="910"/>
      <c r="R369" s="910"/>
      <c r="S369" s="910"/>
      <c r="T369" s="910"/>
      <c r="U369" s="910"/>
      <c r="V369" s="910"/>
    </row>
    <row r="370" spans="1:22" x14ac:dyDescent="0.25">
      <c r="A370" s="772"/>
      <c r="B370" s="767" t="str">
        <f t="shared" si="10"/>
        <v xml:space="preserve"> </v>
      </c>
      <c r="C370" s="768" t="str">
        <f t="shared" si="11"/>
        <v xml:space="preserve"> </v>
      </c>
      <c r="D370" s="486"/>
      <c r="E370" s="308" cm="1">
        <f t="array" ref="E370">_xlfn.XLOOKUP(A370&amp;D370, $A$562:$J$562&amp;$A$563:$J$563, $A$564:$J$564, " ")</f>
        <v>0</v>
      </c>
      <c r="F370" s="872" cm="1">
        <f t="array" ref="F370">_xlfn.XLOOKUP(A370&amp;D370, $A$562:$J$562&amp;$A$563:$J$563, $A$565:$J$565, " ")</f>
        <v>0</v>
      </c>
      <c r="G370" s="510"/>
      <c r="H370" s="840"/>
      <c r="I370" s="510"/>
      <c r="J370" s="510"/>
      <c r="K370" s="511"/>
      <c r="L370" s="510"/>
      <c r="M370" s="580"/>
      <c r="N370" s="580"/>
      <c r="O370" s="580"/>
      <c r="P370" s="910"/>
      <c r="Q370" s="910"/>
      <c r="R370" s="910"/>
      <c r="S370" s="910"/>
      <c r="T370" s="910"/>
      <c r="U370" s="910"/>
      <c r="V370" s="910"/>
    </row>
    <row r="371" spans="1:22" x14ac:dyDescent="0.25">
      <c r="A371" s="772"/>
      <c r="B371" s="767" t="str">
        <f t="shared" si="10"/>
        <v xml:space="preserve"> </v>
      </c>
      <c r="C371" s="768" t="str">
        <f t="shared" si="11"/>
        <v xml:space="preserve"> </v>
      </c>
      <c r="D371" s="486"/>
      <c r="E371" s="308" cm="1">
        <f t="array" ref="E371">_xlfn.XLOOKUP(A371&amp;D371, $A$562:$J$562&amp;$A$563:$J$563, $A$564:$J$564, " ")</f>
        <v>0</v>
      </c>
      <c r="F371" s="872" cm="1">
        <f t="array" ref="F371">_xlfn.XLOOKUP(A371&amp;D371, $A$562:$J$562&amp;$A$563:$J$563, $A$565:$J$565, " ")</f>
        <v>0</v>
      </c>
      <c r="G371" s="510"/>
      <c r="H371" s="840"/>
      <c r="I371" s="510"/>
      <c r="J371" s="510"/>
      <c r="K371" s="511"/>
      <c r="L371" s="510"/>
      <c r="M371" s="580"/>
      <c r="N371" s="580"/>
      <c r="O371" s="580"/>
      <c r="P371" s="910"/>
      <c r="Q371" s="910"/>
      <c r="R371" s="910"/>
      <c r="S371" s="910"/>
      <c r="T371" s="910"/>
      <c r="U371" s="910"/>
      <c r="V371" s="910"/>
    </row>
    <row r="372" spans="1:22" x14ac:dyDescent="0.25">
      <c r="A372" s="772"/>
      <c r="B372" s="767" t="str">
        <f t="shared" si="10"/>
        <v xml:space="preserve"> </v>
      </c>
      <c r="C372" s="768" t="str">
        <f t="shared" si="11"/>
        <v xml:space="preserve"> </v>
      </c>
      <c r="D372" s="486"/>
      <c r="E372" s="308" cm="1">
        <f t="array" ref="E372">_xlfn.XLOOKUP(A372&amp;D372, $A$562:$J$562&amp;$A$563:$J$563, $A$564:$J$564, " ")</f>
        <v>0</v>
      </c>
      <c r="F372" s="872" cm="1">
        <f t="array" ref="F372">_xlfn.XLOOKUP(A372&amp;D372, $A$562:$J$562&amp;$A$563:$J$563, $A$565:$J$565, " ")</f>
        <v>0</v>
      </c>
      <c r="G372" s="510"/>
      <c r="H372" s="840"/>
      <c r="I372" s="510"/>
      <c r="J372" s="510"/>
      <c r="K372" s="511"/>
      <c r="L372" s="510"/>
      <c r="M372" s="580"/>
      <c r="N372" s="580"/>
      <c r="O372" s="580"/>
      <c r="P372" s="910"/>
      <c r="Q372" s="910"/>
      <c r="R372" s="910"/>
      <c r="S372" s="910"/>
      <c r="T372" s="910"/>
      <c r="U372" s="910"/>
      <c r="V372" s="910"/>
    </row>
    <row r="373" spans="1:22" x14ac:dyDescent="0.25">
      <c r="A373" s="772"/>
      <c r="B373" s="767" t="str">
        <f t="shared" si="10"/>
        <v xml:space="preserve"> </v>
      </c>
      <c r="C373" s="768" t="str">
        <f t="shared" si="11"/>
        <v xml:space="preserve"> </v>
      </c>
      <c r="D373" s="486"/>
      <c r="E373" s="308" cm="1">
        <f t="array" ref="E373">_xlfn.XLOOKUP(A373&amp;D373, $A$562:$J$562&amp;$A$563:$J$563, $A$564:$J$564, " ")</f>
        <v>0</v>
      </c>
      <c r="F373" s="872" cm="1">
        <f t="array" ref="F373">_xlfn.XLOOKUP(A373&amp;D373, $A$562:$J$562&amp;$A$563:$J$563, $A$565:$J$565, " ")</f>
        <v>0</v>
      </c>
      <c r="G373" s="510"/>
      <c r="H373" s="840"/>
      <c r="I373" s="510"/>
      <c r="J373" s="510"/>
      <c r="K373" s="511"/>
      <c r="L373" s="510"/>
      <c r="M373" s="580"/>
      <c r="N373" s="580"/>
      <c r="O373" s="580"/>
      <c r="P373" s="910"/>
      <c r="Q373" s="910"/>
      <c r="R373" s="910"/>
      <c r="S373" s="910"/>
      <c r="T373" s="910"/>
      <c r="U373" s="910"/>
      <c r="V373" s="910"/>
    </row>
    <row r="374" spans="1:22" x14ac:dyDescent="0.25">
      <c r="A374" s="772"/>
      <c r="B374" s="767" t="str">
        <f t="shared" si="10"/>
        <v xml:space="preserve"> </v>
      </c>
      <c r="C374" s="768" t="str">
        <f t="shared" si="11"/>
        <v xml:space="preserve"> </v>
      </c>
      <c r="D374" s="486"/>
      <c r="E374" s="308" cm="1">
        <f t="array" ref="E374">_xlfn.XLOOKUP(A374&amp;D374, $A$562:$J$562&amp;$A$563:$J$563, $A$564:$J$564, " ")</f>
        <v>0</v>
      </c>
      <c r="F374" s="872" cm="1">
        <f t="array" ref="F374">_xlfn.XLOOKUP(A374&amp;D374, $A$562:$J$562&amp;$A$563:$J$563, $A$565:$J$565, " ")</f>
        <v>0</v>
      </c>
      <c r="G374" s="510"/>
      <c r="H374" s="840"/>
      <c r="I374" s="510"/>
      <c r="J374" s="510"/>
      <c r="K374" s="511"/>
      <c r="L374" s="510"/>
      <c r="M374" s="580"/>
      <c r="N374" s="580"/>
      <c r="O374" s="580"/>
      <c r="P374" s="910"/>
      <c r="Q374" s="910"/>
      <c r="R374" s="910"/>
      <c r="S374" s="910"/>
      <c r="T374" s="910"/>
      <c r="U374" s="910"/>
      <c r="V374" s="910"/>
    </row>
    <row r="375" spans="1:22" x14ac:dyDescent="0.25">
      <c r="A375" s="772"/>
      <c r="B375" s="767" t="str">
        <f t="shared" si="10"/>
        <v xml:space="preserve"> </v>
      </c>
      <c r="C375" s="768" t="str">
        <f t="shared" si="11"/>
        <v xml:space="preserve"> </v>
      </c>
      <c r="D375" s="486"/>
      <c r="E375" s="308" cm="1">
        <f t="array" ref="E375">_xlfn.XLOOKUP(A375&amp;D375, $A$562:$J$562&amp;$A$563:$J$563, $A$564:$J$564, " ")</f>
        <v>0</v>
      </c>
      <c r="F375" s="872" cm="1">
        <f t="array" ref="F375">_xlfn.XLOOKUP(A375&amp;D375, $A$562:$J$562&amp;$A$563:$J$563, $A$565:$J$565, " ")</f>
        <v>0</v>
      </c>
      <c r="G375" s="510"/>
      <c r="H375" s="840"/>
      <c r="I375" s="510"/>
      <c r="J375" s="510"/>
      <c r="K375" s="511"/>
      <c r="L375" s="510"/>
      <c r="M375" s="580"/>
      <c r="N375" s="580"/>
      <c r="O375" s="580"/>
      <c r="P375" s="910"/>
      <c r="Q375" s="910"/>
      <c r="R375" s="910"/>
      <c r="S375" s="910"/>
      <c r="T375" s="910"/>
      <c r="U375" s="910"/>
      <c r="V375" s="910"/>
    </row>
    <row r="376" spans="1:22" x14ac:dyDescent="0.25">
      <c r="A376" s="772"/>
      <c r="B376" s="767" t="str">
        <f t="shared" si="10"/>
        <v xml:space="preserve"> </v>
      </c>
      <c r="C376" s="768" t="str">
        <f t="shared" si="11"/>
        <v xml:space="preserve"> </v>
      </c>
      <c r="D376" s="486"/>
      <c r="E376" s="308" cm="1">
        <f t="array" ref="E376">_xlfn.XLOOKUP(A376&amp;D376, $A$562:$J$562&amp;$A$563:$J$563, $A$564:$J$564, " ")</f>
        <v>0</v>
      </c>
      <c r="F376" s="872" cm="1">
        <f t="array" ref="F376">_xlfn.XLOOKUP(A376&amp;D376, $A$562:$J$562&amp;$A$563:$J$563, $A$565:$J$565, " ")</f>
        <v>0</v>
      </c>
      <c r="G376" s="510"/>
      <c r="H376" s="840"/>
      <c r="I376" s="510"/>
      <c r="J376" s="510"/>
      <c r="K376" s="511"/>
      <c r="L376" s="510"/>
      <c r="M376" s="580"/>
      <c r="N376" s="580"/>
      <c r="O376" s="580"/>
      <c r="P376" s="910"/>
      <c r="Q376" s="910"/>
      <c r="R376" s="910"/>
      <c r="S376" s="910"/>
      <c r="T376" s="910"/>
      <c r="U376" s="910"/>
      <c r="V376" s="910"/>
    </row>
    <row r="377" spans="1:22" x14ac:dyDescent="0.25">
      <c r="A377" s="772"/>
      <c r="B377" s="767" t="str">
        <f t="shared" si="10"/>
        <v xml:space="preserve"> </v>
      </c>
      <c r="C377" s="768" t="str">
        <f t="shared" si="11"/>
        <v xml:space="preserve"> </v>
      </c>
      <c r="D377" s="486"/>
      <c r="E377" s="308" cm="1">
        <f t="array" ref="E377">_xlfn.XLOOKUP(A377&amp;D377, $A$562:$J$562&amp;$A$563:$J$563, $A$564:$J$564, " ")</f>
        <v>0</v>
      </c>
      <c r="F377" s="872" cm="1">
        <f t="array" ref="F377">_xlfn.XLOOKUP(A377&amp;D377, $A$562:$J$562&amp;$A$563:$J$563, $A$565:$J$565, " ")</f>
        <v>0</v>
      </c>
      <c r="G377" s="510"/>
      <c r="H377" s="840"/>
      <c r="I377" s="510"/>
      <c r="J377" s="510"/>
      <c r="K377" s="511"/>
      <c r="L377" s="510"/>
      <c r="M377" s="580"/>
      <c r="N377" s="580"/>
      <c r="O377" s="580"/>
      <c r="P377" s="910"/>
      <c r="Q377" s="910"/>
      <c r="R377" s="910"/>
      <c r="S377" s="910"/>
      <c r="T377" s="910"/>
      <c r="U377" s="910"/>
      <c r="V377" s="910"/>
    </row>
    <row r="378" spans="1:22" x14ac:dyDescent="0.25">
      <c r="A378" s="772"/>
      <c r="B378" s="767" t="str">
        <f t="shared" si="10"/>
        <v xml:space="preserve"> </v>
      </c>
      <c r="C378" s="768" t="str">
        <f t="shared" si="11"/>
        <v xml:space="preserve"> </v>
      </c>
      <c r="D378" s="486"/>
      <c r="E378" s="308" cm="1">
        <f t="array" ref="E378">_xlfn.XLOOKUP(A378&amp;D378, $A$562:$J$562&amp;$A$563:$J$563, $A$564:$J$564, " ")</f>
        <v>0</v>
      </c>
      <c r="F378" s="872" cm="1">
        <f t="array" ref="F378">_xlfn.XLOOKUP(A378&amp;D378, $A$562:$J$562&amp;$A$563:$J$563, $A$565:$J$565, " ")</f>
        <v>0</v>
      </c>
      <c r="G378" s="510"/>
      <c r="H378" s="840"/>
      <c r="I378" s="510"/>
      <c r="J378" s="510"/>
      <c r="K378" s="511"/>
      <c r="L378" s="510"/>
      <c r="M378" s="580"/>
      <c r="N378" s="580"/>
      <c r="O378" s="580"/>
      <c r="P378" s="910"/>
      <c r="Q378" s="910"/>
      <c r="R378" s="910"/>
      <c r="S378" s="910"/>
      <c r="T378" s="910"/>
      <c r="U378" s="910"/>
      <c r="V378" s="910"/>
    </row>
    <row r="379" spans="1:22" x14ac:dyDescent="0.25">
      <c r="A379" s="772"/>
      <c r="B379" s="767" t="str">
        <f t="shared" si="10"/>
        <v xml:space="preserve"> </v>
      </c>
      <c r="C379" s="768" t="str">
        <f t="shared" si="11"/>
        <v xml:space="preserve"> </v>
      </c>
      <c r="D379" s="486"/>
      <c r="E379" s="308" cm="1">
        <f t="array" ref="E379">_xlfn.XLOOKUP(A379&amp;D379, $A$562:$J$562&amp;$A$563:$J$563, $A$564:$J$564, " ")</f>
        <v>0</v>
      </c>
      <c r="F379" s="872" cm="1">
        <f t="array" ref="F379">_xlfn.XLOOKUP(A379&amp;D379, $A$562:$J$562&amp;$A$563:$J$563, $A$565:$J$565, " ")</f>
        <v>0</v>
      </c>
      <c r="G379" s="510"/>
      <c r="H379" s="840"/>
      <c r="I379" s="510"/>
      <c r="J379" s="510"/>
      <c r="K379" s="511"/>
      <c r="L379" s="510"/>
      <c r="M379" s="580"/>
      <c r="N379" s="580"/>
      <c r="O379" s="580"/>
      <c r="P379" s="910"/>
      <c r="Q379" s="910"/>
      <c r="R379" s="910"/>
      <c r="S379" s="910"/>
      <c r="T379" s="910"/>
      <c r="U379" s="910"/>
      <c r="V379" s="910"/>
    </row>
    <row r="380" spans="1:22" x14ac:dyDescent="0.25">
      <c r="A380" s="772"/>
      <c r="B380" s="767" t="str">
        <f t="shared" si="10"/>
        <v xml:space="preserve"> </v>
      </c>
      <c r="C380" s="768" t="str">
        <f t="shared" si="11"/>
        <v xml:space="preserve"> </v>
      </c>
      <c r="D380" s="486"/>
      <c r="E380" s="308" cm="1">
        <f t="array" ref="E380">_xlfn.XLOOKUP(A380&amp;D380, $A$562:$J$562&amp;$A$563:$J$563, $A$564:$J$564, " ")</f>
        <v>0</v>
      </c>
      <c r="F380" s="872" cm="1">
        <f t="array" ref="F380">_xlfn.XLOOKUP(A380&amp;D380, $A$562:$J$562&amp;$A$563:$J$563, $A$565:$J$565, " ")</f>
        <v>0</v>
      </c>
      <c r="G380" s="510"/>
      <c r="H380" s="840"/>
      <c r="I380" s="510"/>
      <c r="J380" s="510"/>
      <c r="K380" s="511"/>
      <c r="L380" s="510"/>
      <c r="M380" s="580"/>
      <c r="N380" s="580"/>
      <c r="O380" s="580"/>
      <c r="P380" s="910"/>
      <c r="Q380" s="910"/>
      <c r="R380" s="910"/>
      <c r="S380" s="910"/>
      <c r="T380" s="910"/>
      <c r="U380" s="910"/>
      <c r="V380" s="910"/>
    </row>
    <row r="381" spans="1:22" x14ac:dyDescent="0.25">
      <c r="A381" s="772"/>
      <c r="B381" s="767" t="str">
        <f t="shared" si="10"/>
        <v xml:space="preserve"> </v>
      </c>
      <c r="C381" s="768" t="str">
        <f t="shared" si="11"/>
        <v xml:space="preserve"> </v>
      </c>
      <c r="D381" s="486"/>
      <c r="E381" s="308" cm="1">
        <f t="array" ref="E381">_xlfn.XLOOKUP(A381&amp;D381, $A$562:$J$562&amp;$A$563:$J$563, $A$564:$J$564, " ")</f>
        <v>0</v>
      </c>
      <c r="F381" s="872" cm="1">
        <f t="array" ref="F381">_xlfn.XLOOKUP(A381&amp;D381, $A$562:$J$562&amp;$A$563:$J$563, $A$565:$J$565, " ")</f>
        <v>0</v>
      </c>
      <c r="G381" s="510"/>
      <c r="H381" s="840"/>
      <c r="I381" s="510"/>
      <c r="J381" s="510"/>
      <c r="K381" s="511"/>
      <c r="L381" s="510"/>
      <c r="M381" s="580"/>
      <c r="N381" s="580"/>
      <c r="O381" s="580"/>
      <c r="P381" s="910"/>
      <c r="Q381" s="910"/>
      <c r="R381" s="910"/>
      <c r="S381" s="910"/>
      <c r="T381" s="910"/>
      <c r="U381" s="910"/>
      <c r="V381" s="910"/>
    </row>
    <row r="382" spans="1:22" x14ac:dyDescent="0.25">
      <c r="A382" s="772"/>
      <c r="B382" s="767" t="str">
        <f t="shared" si="10"/>
        <v xml:space="preserve"> </v>
      </c>
      <c r="C382" s="768" t="str">
        <f t="shared" si="11"/>
        <v xml:space="preserve"> </v>
      </c>
      <c r="D382" s="486"/>
      <c r="E382" s="308" cm="1">
        <f t="array" ref="E382">_xlfn.XLOOKUP(A382&amp;D382, $A$562:$J$562&amp;$A$563:$J$563, $A$564:$J$564, " ")</f>
        <v>0</v>
      </c>
      <c r="F382" s="872" cm="1">
        <f t="array" ref="F382">_xlfn.XLOOKUP(A382&amp;D382, $A$562:$J$562&amp;$A$563:$J$563, $A$565:$J$565, " ")</f>
        <v>0</v>
      </c>
      <c r="G382" s="510"/>
      <c r="H382" s="840"/>
      <c r="I382" s="510"/>
      <c r="J382" s="510"/>
      <c r="K382" s="511"/>
      <c r="L382" s="510"/>
      <c r="M382" s="580"/>
      <c r="N382" s="580"/>
      <c r="O382" s="580"/>
      <c r="P382" s="910"/>
      <c r="Q382" s="910"/>
      <c r="R382" s="910"/>
      <c r="S382" s="910"/>
      <c r="T382" s="910"/>
      <c r="U382" s="910"/>
      <c r="V382" s="910"/>
    </row>
    <row r="383" spans="1:22" x14ac:dyDescent="0.25">
      <c r="A383" s="772"/>
      <c r="B383" s="767" t="str">
        <f t="shared" si="10"/>
        <v xml:space="preserve"> </v>
      </c>
      <c r="C383" s="768" t="str">
        <f t="shared" si="11"/>
        <v xml:space="preserve"> </v>
      </c>
      <c r="D383" s="486"/>
      <c r="E383" s="308" cm="1">
        <f t="array" ref="E383">_xlfn.XLOOKUP(A383&amp;D383, $A$562:$J$562&amp;$A$563:$J$563, $A$564:$J$564, " ")</f>
        <v>0</v>
      </c>
      <c r="F383" s="872" cm="1">
        <f t="array" ref="F383">_xlfn.XLOOKUP(A383&amp;D383, $A$562:$J$562&amp;$A$563:$J$563, $A$565:$J$565, " ")</f>
        <v>0</v>
      </c>
      <c r="G383" s="510"/>
      <c r="H383" s="840"/>
      <c r="I383" s="510"/>
      <c r="J383" s="510"/>
      <c r="K383" s="511"/>
      <c r="L383" s="510"/>
      <c r="M383" s="580"/>
      <c r="N383" s="580"/>
      <c r="O383" s="580"/>
      <c r="P383" s="910"/>
      <c r="Q383" s="910"/>
      <c r="R383" s="910"/>
      <c r="S383" s="910"/>
      <c r="T383" s="910"/>
      <c r="U383" s="910"/>
      <c r="V383" s="910"/>
    </row>
    <row r="384" spans="1:22" x14ac:dyDescent="0.25">
      <c r="A384" s="772"/>
      <c r="B384" s="767" t="str">
        <f t="shared" si="10"/>
        <v xml:space="preserve"> </v>
      </c>
      <c r="C384" s="768" t="str">
        <f t="shared" si="11"/>
        <v xml:space="preserve"> </v>
      </c>
      <c r="D384" s="486"/>
      <c r="E384" s="308" cm="1">
        <f t="array" ref="E384">_xlfn.XLOOKUP(A384&amp;D384, $A$562:$J$562&amp;$A$563:$J$563, $A$564:$J$564, " ")</f>
        <v>0</v>
      </c>
      <c r="F384" s="872" cm="1">
        <f t="array" ref="F384">_xlfn.XLOOKUP(A384&amp;D384, $A$562:$J$562&amp;$A$563:$J$563, $A$565:$J$565, " ")</f>
        <v>0</v>
      </c>
      <c r="G384" s="510"/>
      <c r="H384" s="840"/>
      <c r="I384" s="510"/>
      <c r="J384" s="510"/>
      <c r="K384" s="511"/>
      <c r="L384" s="510"/>
      <c r="M384" s="580"/>
      <c r="N384" s="580"/>
      <c r="O384" s="580"/>
      <c r="P384" s="910"/>
      <c r="Q384" s="910"/>
      <c r="R384" s="910"/>
      <c r="S384" s="910"/>
      <c r="T384" s="910"/>
      <c r="U384" s="910"/>
      <c r="V384" s="910"/>
    </row>
    <row r="385" spans="1:22" x14ac:dyDescent="0.25">
      <c r="A385" s="772"/>
      <c r="B385" s="767" t="str">
        <f t="shared" si="10"/>
        <v xml:space="preserve"> </v>
      </c>
      <c r="C385" s="768" t="str">
        <f t="shared" si="11"/>
        <v xml:space="preserve"> </v>
      </c>
      <c r="D385" s="486"/>
      <c r="E385" s="308" cm="1">
        <f t="array" ref="E385">_xlfn.XLOOKUP(A385&amp;D385, $A$562:$J$562&amp;$A$563:$J$563, $A$564:$J$564, " ")</f>
        <v>0</v>
      </c>
      <c r="F385" s="872" cm="1">
        <f t="array" ref="F385">_xlfn.XLOOKUP(A385&amp;D385, $A$562:$J$562&amp;$A$563:$J$563, $A$565:$J$565, " ")</f>
        <v>0</v>
      </c>
      <c r="G385" s="510"/>
      <c r="H385" s="840"/>
      <c r="I385" s="510"/>
      <c r="J385" s="510"/>
      <c r="K385" s="511"/>
      <c r="L385" s="510"/>
      <c r="M385" s="580"/>
      <c r="N385" s="580"/>
      <c r="O385" s="580"/>
      <c r="P385" s="910"/>
      <c r="Q385" s="910"/>
      <c r="R385" s="910"/>
      <c r="S385" s="910"/>
      <c r="T385" s="910"/>
      <c r="U385" s="910"/>
      <c r="V385" s="910"/>
    </row>
    <row r="386" spans="1:22" x14ac:dyDescent="0.25">
      <c r="A386" s="772"/>
      <c r="B386" s="767" t="str">
        <f t="shared" si="10"/>
        <v xml:space="preserve"> </v>
      </c>
      <c r="C386" s="768" t="str">
        <f t="shared" si="11"/>
        <v xml:space="preserve"> </v>
      </c>
      <c r="D386" s="486"/>
      <c r="E386" s="308" cm="1">
        <f t="array" ref="E386">_xlfn.XLOOKUP(A386&amp;D386, $A$562:$J$562&amp;$A$563:$J$563, $A$564:$J$564, " ")</f>
        <v>0</v>
      </c>
      <c r="F386" s="872" cm="1">
        <f t="array" ref="F386">_xlfn.XLOOKUP(A386&amp;D386, $A$562:$J$562&amp;$A$563:$J$563, $A$565:$J$565, " ")</f>
        <v>0</v>
      </c>
      <c r="G386" s="510"/>
      <c r="H386" s="840"/>
      <c r="I386" s="510"/>
      <c r="J386" s="510"/>
      <c r="K386" s="511"/>
      <c r="L386" s="510"/>
      <c r="M386" s="580"/>
      <c r="N386" s="580"/>
      <c r="O386" s="580"/>
      <c r="P386" s="910"/>
      <c r="Q386" s="910"/>
      <c r="R386" s="910"/>
      <c r="S386" s="910"/>
      <c r="T386" s="910"/>
      <c r="U386" s="910"/>
      <c r="V386" s="910"/>
    </row>
    <row r="387" spans="1:22" x14ac:dyDescent="0.25">
      <c r="A387" s="772"/>
      <c r="B387" s="767" t="str">
        <f t="shared" si="10"/>
        <v xml:space="preserve"> </v>
      </c>
      <c r="C387" s="768" t="str">
        <f t="shared" si="11"/>
        <v xml:space="preserve"> </v>
      </c>
      <c r="D387" s="486"/>
      <c r="E387" s="308" cm="1">
        <f t="array" ref="E387">_xlfn.XLOOKUP(A387&amp;D387, $A$562:$J$562&amp;$A$563:$J$563, $A$564:$J$564, " ")</f>
        <v>0</v>
      </c>
      <c r="F387" s="872" cm="1">
        <f t="array" ref="F387">_xlfn.XLOOKUP(A387&amp;D387, $A$562:$J$562&amp;$A$563:$J$563, $A$565:$J$565, " ")</f>
        <v>0</v>
      </c>
      <c r="G387" s="510"/>
      <c r="H387" s="840"/>
      <c r="I387" s="510"/>
      <c r="J387" s="510"/>
      <c r="K387" s="511"/>
      <c r="L387" s="510"/>
      <c r="M387" s="580"/>
      <c r="N387" s="580"/>
      <c r="O387" s="580"/>
      <c r="P387" s="910"/>
      <c r="Q387" s="910"/>
      <c r="R387" s="910"/>
      <c r="S387" s="910"/>
      <c r="T387" s="910"/>
      <c r="U387" s="910"/>
      <c r="V387" s="910"/>
    </row>
    <row r="388" spans="1:22" x14ac:dyDescent="0.25">
      <c r="A388" s="772"/>
      <c r="B388" s="767" t="str">
        <f t="shared" si="10"/>
        <v xml:space="preserve"> </v>
      </c>
      <c r="C388" s="768" t="str">
        <f t="shared" si="11"/>
        <v xml:space="preserve"> </v>
      </c>
      <c r="D388" s="486"/>
      <c r="E388" s="308" cm="1">
        <f t="array" ref="E388">_xlfn.XLOOKUP(A388&amp;D388, $A$562:$J$562&amp;$A$563:$J$563, $A$564:$J$564, " ")</f>
        <v>0</v>
      </c>
      <c r="F388" s="872" cm="1">
        <f t="array" ref="F388">_xlfn.XLOOKUP(A388&amp;D388, $A$562:$J$562&amp;$A$563:$J$563, $A$565:$J$565, " ")</f>
        <v>0</v>
      </c>
      <c r="G388" s="510"/>
      <c r="H388" s="840"/>
      <c r="I388" s="510"/>
      <c r="J388" s="510"/>
      <c r="K388" s="511"/>
      <c r="L388" s="510"/>
      <c r="M388" s="580"/>
      <c r="N388" s="580"/>
      <c r="O388" s="580"/>
      <c r="P388" s="910"/>
      <c r="Q388" s="910"/>
      <c r="R388" s="910"/>
      <c r="S388" s="910"/>
      <c r="T388" s="910"/>
      <c r="U388" s="910"/>
      <c r="V388" s="910"/>
    </row>
    <row r="389" spans="1:22" x14ac:dyDescent="0.25">
      <c r="A389" s="772"/>
      <c r="B389" s="767" t="str">
        <f t="shared" si="10"/>
        <v xml:space="preserve"> </v>
      </c>
      <c r="C389" s="768" t="str">
        <f t="shared" si="11"/>
        <v xml:space="preserve"> </v>
      </c>
      <c r="D389" s="486"/>
      <c r="E389" s="308" cm="1">
        <f t="array" ref="E389">_xlfn.XLOOKUP(A389&amp;D389, $A$562:$J$562&amp;$A$563:$J$563, $A$564:$J$564, " ")</f>
        <v>0</v>
      </c>
      <c r="F389" s="872" cm="1">
        <f t="array" ref="F389">_xlfn.XLOOKUP(A389&amp;D389, $A$562:$J$562&amp;$A$563:$J$563, $A$565:$J$565, " ")</f>
        <v>0</v>
      </c>
      <c r="G389" s="510"/>
      <c r="H389" s="840"/>
      <c r="I389" s="510"/>
      <c r="J389" s="510"/>
      <c r="K389" s="511"/>
      <c r="L389" s="510"/>
      <c r="M389" s="580"/>
      <c r="N389" s="580"/>
      <c r="O389" s="580"/>
      <c r="P389" s="910"/>
      <c r="Q389" s="910"/>
      <c r="R389" s="910"/>
      <c r="S389" s="910"/>
      <c r="T389" s="910"/>
      <c r="U389" s="910"/>
      <c r="V389" s="910"/>
    </row>
    <row r="390" spans="1:22" x14ac:dyDescent="0.25">
      <c r="A390" s="772"/>
      <c r="B390" s="767" t="str">
        <f t="shared" si="10"/>
        <v xml:space="preserve"> </v>
      </c>
      <c r="C390" s="768" t="str">
        <f t="shared" si="11"/>
        <v xml:space="preserve"> </v>
      </c>
      <c r="D390" s="486"/>
      <c r="E390" s="308" cm="1">
        <f t="array" ref="E390">_xlfn.XLOOKUP(A390&amp;D390, $A$562:$J$562&amp;$A$563:$J$563, $A$564:$J$564, " ")</f>
        <v>0</v>
      </c>
      <c r="F390" s="872" cm="1">
        <f t="array" ref="F390">_xlfn.XLOOKUP(A390&amp;D390, $A$562:$J$562&amp;$A$563:$J$563, $A$565:$J$565, " ")</f>
        <v>0</v>
      </c>
      <c r="G390" s="510"/>
      <c r="H390" s="840"/>
      <c r="I390" s="510"/>
      <c r="J390" s="510"/>
      <c r="K390" s="511"/>
      <c r="L390" s="510"/>
      <c r="M390" s="580"/>
      <c r="N390" s="580"/>
      <c r="O390" s="580"/>
      <c r="P390" s="910"/>
      <c r="Q390" s="910"/>
      <c r="R390" s="910"/>
      <c r="S390" s="910"/>
      <c r="T390" s="910"/>
      <c r="U390" s="910"/>
      <c r="V390" s="910"/>
    </row>
    <row r="391" spans="1:22" x14ac:dyDescent="0.25">
      <c r="A391" s="772"/>
      <c r="B391" s="767" t="str">
        <f t="shared" si="10"/>
        <v xml:space="preserve"> </v>
      </c>
      <c r="C391" s="768" t="str">
        <f t="shared" si="11"/>
        <v xml:space="preserve"> </v>
      </c>
      <c r="D391" s="486"/>
      <c r="E391" s="308" cm="1">
        <f t="array" ref="E391">_xlfn.XLOOKUP(A391&amp;D391, $A$562:$J$562&amp;$A$563:$J$563, $A$564:$J$564, " ")</f>
        <v>0</v>
      </c>
      <c r="F391" s="872" cm="1">
        <f t="array" ref="F391">_xlfn.XLOOKUP(A391&amp;D391, $A$562:$J$562&amp;$A$563:$J$563, $A$565:$J$565, " ")</f>
        <v>0</v>
      </c>
      <c r="G391" s="510"/>
      <c r="H391" s="840"/>
      <c r="I391" s="510"/>
      <c r="J391" s="510"/>
      <c r="K391" s="511"/>
      <c r="L391" s="510"/>
      <c r="M391" s="580"/>
      <c r="N391" s="580"/>
      <c r="O391" s="580"/>
      <c r="P391" s="910"/>
      <c r="Q391" s="910"/>
      <c r="R391" s="910"/>
      <c r="S391" s="910"/>
      <c r="T391" s="910"/>
      <c r="U391" s="910"/>
      <c r="V391" s="910"/>
    </row>
    <row r="392" spans="1:22" x14ac:dyDescent="0.25">
      <c r="A392" s="772"/>
      <c r="B392" s="767" t="str">
        <f t="shared" si="10"/>
        <v xml:space="preserve"> </v>
      </c>
      <c r="C392" s="768" t="str">
        <f t="shared" si="11"/>
        <v xml:space="preserve"> </v>
      </c>
      <c r="D392" s="486"/>
      <c r="E392" s="308" cm="1">
        <f t="array" ref="E392">_xlfn.XLOOKUP(A392&amp;D392, $A$562:$J$562&amp;$A$563:$J$563, $A$564:$J$564, " ")</f>
        <v>0</v>
      </c>
      <c r="F392" s="872" cm="1">
        <f t="array" ref="F392">_xlfn.XLOOKUP(A392&amp;D392, $A$562:$J$562&amp;$A$563:$J$563, $A$565:$J$565, " ")</f>
        <v>0</v>
      </c>
      <c r="G392" s="510"/>
      <c r="H392" s="840"/>
      <c r="I392" s="510"/>
      <c r="J392" s="510"/>
      <c r="K392" s="511"/>
      <c r="L392" s="510"/>
      <c r="M392" s="580"/>
      <c r="N392" s="580"/>
      <c r="O392" s="580"/>
      <c r="P392" s="910"/>
      <c r="Q392" s="910"/>
      <c r="R392" s="910"/>
      <c r="S392" s="910"/>
      <c r="T392" s="910"/>
      <c r="U392" s="910"/>
      <c r="V392" s="910"/>
    </row>
    <row r="393" spans="1:22" x14ac:dyDescent="0.25">
      <c r="A393" s="772"/>
      <c r="B393" s="767" t="str">
        <f t="shared" si="10"/>
        <v xml:space="preserve"> </v>
      </c>
      <c r="C393" s="768" t="str">
        <f t="shared" si="11"/>
        <v xml:space="preserve"> </v>
      </c>
      <c r="D393" s="486"/>
      <c r="E393" s="308" cm="1">
        <f t="array" ref="E393">_xlfn.XLOOKUP(A393&amp;D393, $A$562:$J$562&amp;$A$563:$J$563, $A$564:$J$564, " ")</f>
        <v>0</v>
      </c>
      <c r="F393" s="872" cm="1">
        <f t="array" ref="F393">_xlfn.XLOOKUP(A393&amp;D393, $A$562:$J$562&amp;$A$563:$J$563, $A$565:$J$565, " ")</f>
        <v>0</v>
      </c>
      <c r="G393" s="510"/>
      <c r="H393" s="840"/>
      <c r="I393" s="510"/>
      <c r="J393" s="510"/>
      <c r="K393" s="511"/>
      <c r="L393" s="510"/>
      <c r="M393" s="580"/>
      <c r="N393" s="580"/>
      <c r="O393" s="580"/>
      <c r="P393" s="910"/>
      <c r="Q393" s="910"/>
      <c r="R393" s="910"/>
      <c r="S393" s="910"/>
      <c r="T393" s="910"/>
      <c r="U393" s="910"/>
      <c r="V393" s="910"/>
    </row>
    <row r="394" spans="1:22" x14ac:dyDescent="0.25">
      <c r="A394" s="772"/>
      <c r="B394" s="767" t="str">
        <f t="shared" si="10"/>
        <v xml:space="preserve"> </v>
      </c>
      <c r="C394" s="768" t="str">
        <f t="shared" si="11"/>
        <v xml:space="preserve"> </v>
      </c>
      <c r="D394" s="486"/>
      <c r="E394" s="308" cm="1">
        <f t="array" ref="E394">_xlfn.XLOOKUP(A394&amp;D394, $A$562:$J$562&amp;$A$563:$J$563, $A$564:$J$564, " ")</f>
        <v>0</v>
      </c>
      <c r="F394" s="872" cm="1">
        <f t="array" ref="F394">_xlfn.XLOOKUP(A394&amp;D394, $A$562:$J$562&amp;$A$563:$J$563, $A$565:$J$565, " ")</f>
        <v>0</v>
      </c>
      <c r="G394" s="510"/>
      <c r="H394" s="840"/>
      <c r="I394" s="510"/>
      <c r="J394" s="510"/>
      <c r="K394" s="511"/>
      <c r="L394" s="510"/>
      <c r="M394" s="580"/>
      <c r="N394" s="580"/>
      <c r="O394" s="580"/>
      <c r="P394" s="910"/>
      <c r="Q394" s="910"/>
      <c r="R394" s="910"/>
      <c r="S394" s="910"/>
      <c r="T394" s="910"/>
      <c r="U394" s="910"/>
      <c r="V394" s="910"/>
    </row>
    <row r="395" spans="1:22" x14ac:dyDescent="0.25">
      <c r="A395" s="772"/>
      <c r="B395" s="767" t="str">
        <f t="shared" ref="B395:B458" si="12">IF(ISBLANK(A395), " ", _xlfn.XLOOKUP(A395,$A$552:$C$552,$A$553:$C$553))</f>
        <v xml:space="preserve"> </v>
      </c>
      <c r="C395" s="768" t="str">
        <f t="shared" ref="C395:C458" si="13">IF(ISBLANK(A395), " ", _xlfn.XLOOKUP(A395,$A$552:$C$552,$A$554:$C$554))</f>
        <v xml:space="preserve"> </v>
      </c>
      <c r="D395" s="486"/>
      <c r="E395" s="308" cm="1">
        <f t="array" ref="E395">_xlfn.XLOOKUP(A395&amp;D395, $A$562:$J$562&amp;$A$563:$J$563, $A$564:$J$564, " ")</f>
        <v>0</v>
      </c>
      <c r="F395" s="872" cm="1">
        <f t="array" ref="F395">_xlfn.XLOOKUP(A395&amp;D395, $A$562:$J$562&amp;$A$563:$J$563, $A$565:$J$565, " ")</f>
        <v>0</v>
      </c>
      <c r="G395" s="510"/>
      <c r="H395" s="840"/>
      <c r="I395" s="510"/>
      <c r="J395" s="510"/>
      <c r="K395" s="511"/>
      <c r="L395" s="510"/>
      <c r="M395" s="580"/>
      <c r="N395" s="580"/>
      <c r="O395" s="580"/>
      <c r="P395" s="910"/>
      <c r="Q395" s="910"/>
      <c r="R395" s="910"/>
      <c r="S395" s="910"/>
      <c r="T395" s="910"/>
      <c r="U395" s="910"/>
      <c r="V395" s="910"/>
    </row>
    <row r="396" spans="1:22" x14ac:dyDescent="0.25">
      <c r="A396" s="772"/>
      <c r="B396" s="767" t="str">
        <f t="shared" si="12"/>
        <v xml:space="preserve"> </v>
      </c>
      <c r="C396" s="768" t="str">
        <f t="shared" si="13"/>
        <v xml:space="preserve"> </v>
      </c>
      <c r="D396" s="486"/>
      <c r="E396" s="308" cm="1">
        <f t="array" ref="E396">_xlfn.XLOOKUP(A396&amp;D396, $A$562:$J$562&amp;$A$563:$J$563, $A$564:$J$564, " ")</f>
        <v>0</v>
      </c>
      <c r="F396" s="872" cm="1">
        <f t="array" ref="F396">_xlfn.XLOOKUP(A396&amp;D396, $A$562:$J$562&amp;$A$563:$J$563, $A$565:$J$565, " ")</f>
        <v>0</v>
      </c>
      <c r="G396" s="510"/>
      <c r="H396" s="840"/>
      <c r="I396" s="510"/>
      <c r="J396" s="510"/>
      <c r="K396" s="511"/>
      <c r="L396" s="510"/>
      <c r="M396" s="580"/>
      <c r="N396" s="580"/>
      <c r="O396" s="580"/>
      <c r="P396" s="910"/>
      <c r="Q396" s="910"/>
      <c r="R396" s="910"/>
      <c r="S396" s="910"/>
      <c r="T396" s="910"/>
      <c r="U396" s="910"/>
      <c r="V396" s="910"/>
    </row>
    <row r="397" spans="1:22" x14ac:dyDescent="0.25">
      <c r="A397" s="772"/>
      <c r="B397" s="767" t="str">
        <f t="shared" si="12"/>
        <v xml:space="preserve"> </v>
      </c>
      <c r="C397" s="768" t="str">
        <f t="shared" si="13"/>
        <v xml:space="preserve"> </v>
      </c>
      <c r="D397" s="486"/>
      <c r="E397" s="308" cm="1">
        <f t="array" ref="E397">_xlfn.XLOOKUP(A397&amp;D397, $A$562:$J$562&amp;$A$563:$J$563, $A$564:$J$564, " ")</f>
        <v>0</v>
      </c>
      <c r="F397" s="872" cm="1">
        <f t="array" ref="F397">_xlfn.XLOOKUP(A397&amp;D397, $A$562:$J$562&amp;$A$563:$J$563, $A$565:$J$565, " ")</f>
        <v>0</v>
      </c>
      <c r="G397" s="510"/>
      <c r="H397" s="840"/>
      <c r="I397" s="510"/>
      <c r="J397" s="510"/>
      <c r="K397" s="511"/>
      <c r="L397" s="510"/>
      <c r="M397" s="580"/>
      <c r="N397" s="580"/>
      <c r="O397" s="580"/>
      <c r="P397" s="910"/>
      <c r="Q397" s="910"/>
      <c r="R397" s="910"/>
      <c r="S397" s="910"/>
      <c r="T397" s="910"/>
      <c r="U397" s="910"/>
      <c r="V397" s="910"/>
    </row>
    <row r="398" spans="1:22" x14ac:dyDescent="0.25">
      <c r="A398" s="772"/>
      <c r="B398" s="767" t="str">
        <f t="shared" si="12"/>
        <v xml:space="preserve"> </v>
      </c>
      <c r="C398" s="768" t="str">
        <f t="shared" si="13"/>
        <v xml:space="preserve"> </v>
      </c>
      <c r="D398" s="486"/>
      <c r="E398" s="308" cm="1">
        <f t="array" ref="E398">_xlfn.XLOOKUP(A398&amp;D398, $A$562:$J$562&amp;$A$563:$J$563, $A$564:$J$564, " ")</f>
        <v>0</v>
      </c>
      <c r="F398" s="872" cm="1">
        <f t="array" ref="F398">_xlfn.XLOOKUP(A398&amp;D398, $A$562:$J$562&amp;$A$563:$J$563, $A$565:$J$565, " ")</f>
        <v>0</v>
      </c>
      <c r="G398" s="510"/>
      <c r="H398" s="840"/>
      <c r="I398" s="510"/>
      <c r="J398" s="510"/>
      <c r="K398" s="511"/>
      <c r="L398" s="510"/>
      <c r="M398" s="580"/>
      <c r="N398" s="580"/>
      <c r="O398" s="580"/>
      <c r="P398" s="910"/>
      <c r="Q398" s="910"/>
      <c r="R398" s="910"/>
      <c r="S398" s="910"/>
      <c r="T398" s="910"/>
      <c r="U398" s="910"/>
      <c r="V398" s="910"/>
    </row>
    <row r="399" spans="1:22" x14ac:dyDescent="0.25">
      <c r="A399" s="772"/>
      <c r="B399" s="767" t="str">
        <f t="shared" si="12"/>
        <v xml:space="preserve"> </v>
      </c>
      <c r="C399" s="768" t="str">
        <f t="shared" si="13"/>
        <v xml:space="preserve"> </v>
      </c>
      <c r="D399" s="486"/>
      <c r="E399" s="308" cm="1">
        <f t="array" ref="E399">_xlfn.XLOOKUP(A399&amp;D399, $A$562:$J$562&amp;$A$563:$J$563, $A$564:$J$564, " ")</f>
        <v>0</v>
      </c>
      <c r="F399" s="872" cm="1">
        <f t="array" ref="F399">_xlfn.XLOOKUP(A399&amp;D399, $A$562:$J$562&amp;$A$563:$J$563, $A$565:$J$565, " ")</f>
        <v>0</v>
      </c>
      <c r="G399" s="510"/>
      <c r="H399" s="840"/>
      <c r="I399" s="510"/>
      <c r="J399" s="510"/>
      <c r="K399" s="511"/>
      <c r="L399" s="510"/>
      <c r="M399" s="580"/>
      <c r="N399" s="580"/>
      <c r="O399" s="580"/>
      <c r="P399" s="910"/>
      <c r="Q399" s="910"/>
      <c r="R399" s="910"/>
      <c r="S399" s="910"/>
      <c r="T399" s="910"/>
      <c r="U399" s="910"/>
      <c r="V399" s="910"/>
    </row>
    <row r="400" spans="1:22" x14ac:dyDescent="0.25">
      <c r="A400" s="772"/>
      <c r="B400" s="767" t="str">
        <f t="shared" si="12"/>
        <v xml:space="preserve"> </v>
      </c>
      <c r="C400" s="768" t="str">
        <f t="shared" si="13"/>
        <v xml:space="preserve"> </v>
      </c>
      <c r="D400" s="486"/>
      <c r="E400" s="308" cm="1">
        <f t="array" ref="E400">_xlfn.XLOOKUP(A400&amp;D400, $A$562:$J$562&amp;$A$563:$J$563, $A$564:$J$564, " ")</f>
        <v>0</v>
      </c>
      <c r="F400" s="872" cm="1">
        <f t="array" ref="F400">_xlfn.XLOOKUP(A400&amp;D400, $A$562:$J$562&amp;$A$563:$J$563, $A$565:$J$565, " ")</f>
        <v>0</v>
      </c>
      <c r="G400" s="510"/>
      <c r="H400" s="840"/>
      <c r="I400" s="510"/>
      <c r="J400" s="510"/>
      <c r="K400" s="511"/>
      <c r="L400" s="510"/>
      <c r="M400" s="580"/>
      <c r="N400" s="580"/>
      <c r="O400" s="580"/>
      <c r="P400" s="910"/>
      <c r="Q400" s="910"/>
      <c r="R400" s="910"/>
      <c r="S400" s="910"/>
      <c r="T400" s="910"/>
      <c r="U400" s="910"/>
      <c r="V400" s="910"/>
    </row>
    <row r="401" spans="1:22" x14ac:dyDescent="0.25">
      <c r="A401" s="772"/>
      <c r="B401" s="767" t="str">
        <f t="shared" si="12"/>
        <v xml:space="preserve"> </v>
      </c>
      <c r="C401" s="768" t="str">
        <f t="shared" si="13"/>
        <v xml:space="preserve"> </v>
      </c>
      <c r="D401" s="486"/>
      <c r="E401" s="308" cm="1">
        <f t="array" ref="E401">_xlfn.XLOOKUP(A401&amp;D401, $A$562:$J$562&amp;$A$563:$J$563, $A$564:$J$564, " ")</f>
        <v>0</v>
      </c>
      <c r="F401" s="872" cm="1">
        <f t="array" ref="F401">_xlfn.XLOOKUP(A401&amp;D401, $A$562:$J$562&amp;$A$563:$J$563, $A$565:$J$565, " ")</f>
        <v>0</v>
      </c>
      <c r="G401" s="510"/>
      <c r="H401" s="840"/>
      <c r="I401" s="510"/>
      <c r="J401" s="510"/>
      <c r="K401" s="511"/>
      <c r="L401" s="510"/>
      <c r="M401" s="580"/>
      <c r="N401" s="580"/>
      <c r="O401" s="580"/>
      <c r="P401" s="910"/>
      <c r="Q401" s="910"/>
      <c r="R401" s="910"/>
      <c r="S401" s="910"/>
      <c r="T401" s="910"/>
      <c r="U401" s="910"/>
      <c r="V401" s="910"/>
    </row>
    <row r="402" spans="1:22" x14ac:dyDescent="0.25">
      <c r="A402" s="772"/>
      <c r="B402" s="767" t="str">
        <f t="shared" si="12"/>
        <v xml:space="preserve"> </v>
      </c>
      <c r="C402" s="768" t="str">
        <f t="shared" si="13"/>
        <v xml:space="preserve"> </v>
      </c>
      <c r="D402" s="486"/>
      <c r="E402" s="308" cm="1">
        <f t="array" ref="E402">_xlfn.XLOOKUP(A402&amp;D402, $A$562:$J$562&amp;$A$563:$J$563, $A$564:$J$564, " ")</f>
        <v>0</v>
      </c>
      <c r="F402" s="872" cm="1">
        <f t="array" ref="F402">_xlfn.XLOOKUP(A402&amp;D402, $A$562:$J$562&amp;$A$563:$J$563, $A$565:$J$565, " ")</f>
        <v>0</v>
      </c>
      <c r="G402" s="510"/>
      <c r="H402" s="840"/>
      <c r="I402" s="510"/>
      <c r="J402" s="510"/>
      <c r="K402" s="511"/>
      <c r="L402" s="510"/>
      <c r="M402" s="580"/>
      <c r="N402" s="580"/>
      <c r="O402" s="580"/>
      <c r="P402" s="910"/>
      <c r="Q402" s="910"/>
      <c r="R402" s="910"/>
      <c r="S402" s="910"/>
      <c r="T402" s="910"/>
      <c r="U402" s="910"/>
      <c r="V402" s="910"/>
    </row>
    <row r="403" spans="1:22" x14ac:dyDescent="0.25">
      <c r="A403" s="772"/>
      <c r="B403" s="767" t="str">
        <f t="shared" si="12"/>
        <v xml:space="preserve"> </v>
      </c>
      <c r="C403" s="768" t="str">
        <f t="shared" si="13"/>
        <v xml:space="preserve"> </v>
      </c>
      <c r="D403" s="486"/>
      <c r="E403" s="308" cm="1">
        <f t="array" ref="E403">_xlfn.XLOOKUP(A403&amp;D403, $A$562:$J$562&amp;$A$563:$J$563, $A$564:$J$564, " ")</f>
        <v>0</v>
      </c>
      <c r="F403" s="872" cm="1">
        <f t="array" ref="F403">_xlfn.XLOOKUP(A403&amp;D403, $A$562:$J$562&amp;$A$563:$J$563, $A$565:$J$565, " ")</f>
        <v>0</v>
      </c>
      <c r="G403" s="510"/>
      <c r="H403" s="840"/>
      <c r="I403" s="510"/>
      <c r="J403" s="510"/>
      <c r="K403" s="511"/>
      <c r="L403" s="510"/>
      <c r="M403" s="580"/>
      <c r="N403" s="580"/>
      <c r="O403" s="580"/>
      <c r="P403" s="910"/>
      <c r="Q403" s="910"/>
      <c r="R403" s="910"/>
      <c r="S403" s="910"/>
      <c r="T403" s="910"/>
      <c r="U403" s="910"/>
      <c r="V403" s="910"/>
    </row>
    <row r="404" spans="1:22" x14ac:dyDescent="0.25">
      <c r="A404" s="772"/>
      <c r="B404" s="767" t="str">
        <f t="shared" si="12"/>
        <v xml:space="preserve"> </v>
      </c>
      <c r="C404" s="768" t="str">
        <f t="shared" si="13"/>
        <v xml:space="preserve"> </v>
      </c>
      <c r="D404" s="486"/>
      <c r="E404" s="308" cm="1">
        <f t="array" ref="E404">_xlfn.XLOOKUP(A404&amp;D404, $A$562:$J$562&amp;$A$563:$J$563, $A$564:$J$564, " ")</f>
        <v>0</v>
      </c>
      <c r="F404" s="872" cm="1">
        <f t="array" ref="F404">_xlfn.XLOOKUP(A404&amp;D404, $A$562:$J$562&amp;$A$563:$J$563, $A$565:$J$565, " ")</f>
        <v>0</v>
      </c>
      <c r="G404" s="510"/>
      <c r="H404" s="840"/>
      <c r="I404" s="510"/>
      <c r="J404" s="510"/>
      <c r="K404" s="511"/>
      <c r="L404" s="510"/>
      <c r="M404" s="580"/>
      <c r="N404" s="580"/>
      <c r="O404" s="580"/>
      <c r="P404" s="910"/>
      <c r="Q404" s="910"/>
      <c r="R404" s="910"/>
      <c r="S404" s="910"/>
      <c r="T404" s="910"/>
      <c r="U404" s="910"/>
      <c r="V404" s="910"/>
    </row>
    <row r="405" spans="1:22" x14ac:dyDescent="0.25">
      <c r="A405" s="772"/>
      <c r="B405" s="767" t="str">
        <f t="shared" si="12"/>
        <v xml:space="preserve"> </v>
      </c>
      <c r="C405" s="768" t="str">
        <f t="shared" si="13"/>
        <v xml:space="preserve"> </v>
      </c>
      <c r="D405" s="486"/>
      <c r="E405" s="308" cm="1">
        <f t="array" ref="E405">_xlfn.XLOOKUP(A405&amp;D405, $A$562:$J$562&amp;$A$563:$J$563, $A$564:$J$564, " ")</f>
        <v>0</v>
      </c>
      <c r="F405" s="872" cm="1">
        <f t="array" ref="F405">_xlfn.XLOOKUP(A405&amp;D405, $A$562:$J$562&amp;$A$563:$J$563, $A$565:$J$565, " ")</f>
        <v>0</v>
      </c>
      <c r="G405" s="510"/>
      <c r="H405" s="840"/>
      <c r="I405" s="510"/>
      <c r="J405" s="510"/>
      <c r="K405" s="511"/>
      <c r="L405" s="510"/>
      <c r="M405" s="580"/>
      <c r="N405" s="580"/>
      <c r="O405" s="580"/>
      <c r="P405" s="910"/>
      <c r="Q405" s="910"/>
      <c r="R405" s="910"/>
      <c r="S405" s="910"/>
      <c r="T405" s="910"/>
      <c r="U405" s="910"/>
      <c r="V405" s="910"/>
    </row>
    <row r="406" spans="1:22" x14ac:dyDescent="0.25">
      <c r="A406" s="772"/>
      <c r="B406" s="767" t="str">
        <f t="shared" si="12"/>
        <v xml:space="preserve"> </v>
      </c>
      <c r="C406" s="768" t="str">
        <f t="shared" si="13"/>
        <v xml:space="preserve"> </v>
      </c>
      <c r="D406" s="486"/>
      <c r="E406" s="308" cm="1">
        <f t="array" ref="E406">_xlfn.XLOOKUP(A406&amp;D406, $A$562:$J$562&amp;$A$563:$J$563, $A$564:$J$564, " ")</f>
        <v>0</v>
      </c>
      <c r="F406" s="872" cm="1">
        <f t="array" ref="F406">_xlfn.XLOOKUP(A406&amp;D406, $A$562:$J$562&amp;$A$563:$J$563, $A$565:$J$565, " ")</f>
        <v>0</v>
      </c>
      <c r="G406" s="510"/>
      <c r="H406" s="840"/>
      <c r="I406" s="510"/>
      <c r="J406" s="510"/>
      <c r="K406" s="511"/>
      <c r="L406" s="510"/>
      <c r="M406" s="580"/>
      <c r="N406" s="580"/>
      <c r="O406" s="580"/>
      <c r="P406" s="910"/>
      <c r="Q406" s="910"/>
      <c r="R406" s="910"/>
      <c r="S406" s="910"/>
      <c r="T406" s="910"/>
      <c r="U406" s="910"/>
      <c r="V406" s="910"/>
    </row>
    <row r="407" spans="1:22" x14ac:dyDescent="0.25">
      <c r="A407" s="772"/>
      <c r="B407" s="767" t="str">
        <f t="shared" si="12"/>
        <v xml:space="preserve"> </v>
      </c>
      <c r="C407" s="768" t="str">
        <f t="shared" si="13"/>
        <v xml:space="preserve"> </v>
      </c>
      <c r="D407" s="486"/>
      <c r="E407" s="308" cm="1">
        <f t="array" ref="E407">_xlfn.XLOOKUP(A407&amp;D407, $A$562:$J$562&amp;$A$563:$J$563, $A$564:$J$564, " ")</f>
        <v>0</v>
      </c>
      <c r="F407" s="872" cm="1">
        <f t="array" ref="F407">_xlfn.XLOOKUP(A407&amp;D407, $A$562:$J$562&amp;$A$563:$J$563, $A$565:$J$565, " ")</f>
        <v>0</v>
      </c>
      <c r="G407" s="510"/>
      <c r="H407" s="840"/>
      <c r="I407" s="510"/>
      <c r="J407" s="510"/>
      <c r="K407" s="511"/>
      <c r="L407" s="510"/>
      <c r="M407" s="580"/>
      <c r="N407" s="580"/>
      <c r="O407" s="580"/>
      <c r="P407" s="910"/>
      <c r="Q407" s="910"/>
      <c r="R407" s="910"/>
      <c r="S407" s="910"/>
      <c r="T407" s="910"/>
      <c r="U407" s="910"/>
      <c r="V407" s="910"/>
    </row>
    <row r="408" spans="1:22" x14ac:dyDescent="0.25">
      <c r="A408" s="772"/>
      <c r="B408" s="767" t="str">
        <f t="shared" si="12"/>
        <v xml:space="preserve"> </v>
      </c>
      <c r="C408" s="768" t="str">
        <f t="shared" si="13"/>
        <v xml:space="preserve"> </v>
      </c>
      <c r="D408" s="486"/>
      <c r="E408" s="308" cm="1">
        <f t="array" ref="E408">_xlfn.XLOOKUP(A408&amp;D408, $A$562:$J$562&amp;$A$563:$J$563, $A$564:$J$564, " ")</f>
        <v>0</v>
      </c>
      <c r="F408" s="872" cm="1">
        <f t="array" ref="F408">_xlfn.XLOOKUP(A408&amp;D408, $A$562:$J$562&amp;$A$563:$J$563, $A$565:$J$565, " ")</f>
        <v>0</v>
      </c>
      <c r="G408" s="510"/>
      <c r="H408" s="840"/>
      <c r="I408" s="510"/>
      <c r="J408" s="510"/>
      <c r="K408" s="511"/>
      <c r="L408" s="510"/>
      <c r="M408" s="580"/>
      <c r="N408" s="580"/>
      <c r="O408" s="580"/>
      <c r="P408" s="910"/>
      <c r="Q408" s="910"/>
      <c r="R408" s="910"/>
      <c r="S408" s="910"/>
      <c r="T408" s="910"/>
      <c r="U408" s="910"/>
      <c r="V408" s="910"/>
    </row>
    <row r="409" spans="1:22" x14ac:dyDescent="0.25">
      <c r="A409" s="772"/>
      <c r="B409" s="767" t="str">
        <f t="shared" si="12"/>
        <v xml:space="preserve"> </v>
      </c>
      <c r="C409" s="768" t="str">
        <f t="shared" si="13"/>
        <v xml:space="preserve"> </v>
      </c>
      <c r="D409" s="486"/>
      <c r="E409" s="308" cm="1">
        <f t="array" ref="E409">_xlfn.XLOOKUP(A409&amp;D409, $A$562:$J$562&amp;$A$563:$J$563, $A$564:$J$564, " ")</f>
        <v>0</v>
      </c>
      <c r="F409" s="872" cm="1">
        <f t="array" ref="F409">_xlfn.XLOOKUP(A409&amp;D409, $A$562:$J$562&amp;$A$563:$J$563, $A$565:$J$565, " ")</f>
        <v>0</v>
      </c>
      <c r="G409" s="510"/>
      <c r="H409" s="840"/>
      <c r="I409" s="510"/>
      <c r="J409" s="510"/>
      <c r="K409" s="511"/>
      <c r="L409" s="510"/>
      <c r="M409" s="580"/>
      <c r="N409" s="580"/>
      <c r="O409" s="580"/>
      <c r="P409" s="910"/>
      <c r="Q409" s="910"/>
      <c r="R409" s="910"/>
      <c r="S409" s="910"/>
      <c r="T409" s="910"/>
      <c r="U409" s="910"/>
      <c r="V409" s="910"/>
    </row>
    <row r="410" spans="1:22" x14ac:dyDescent="0.25">
      <c r="A410" s="772"/>
      <c r="B410" s="767" t="str">
        <f t="shared" si="12"/>
        <v xml:space="preserve"> </v>
      </c>
      <c r="C410" s="768" t="str">
        <f t="shared" si="13"/>
        <v xml:space="preserve"> </v>
      </c>
      <c r="D410" s="486"/>
      <c r="E410" s="308" cm="1">
        <f t="array" ref="E410">_xlfn.XLOOKUP(A410&amp;D410, $A$562:$J$562&amp;$A$563:$J$563, $A$564:$J$564, " ")</f>
        <v>0</v>
      </c>
      <c r="F410" s="872" cm="1">
        <f t="array" ref="F410">_xlfn.XLOOKUP(A410&amp;D410, $A$562:$J$562&amp;$A$563:$J$563, $A$565:$J$565, " ")</f>
        <v>0</v>
      </c>
      <c r="G410" s="510"/>
      <c r="H410" s="840"/>
      <c r="I410" s="510"/>
      <c r="J410" s="510"/>
      <c r="K410" s="511"/>
      <c r="L410" s="510"/>
      <c r="M410" s="580"/>
      <c r="N410" s="580"/>
      <c r="O410" s="580"/>
      <c r="P410" s="910"/>
      <c r="Q410" s="910"/>
      <c r="R410" s="910"/>
      <c r="S410" s="910"/>
      <c r="T410" s="910"/>
      <c r="U410" s="910"/>
      <c r="V410" s="910"/>
    </row>
    <row r="411" spans="1:22" x14ac:dyDescent="0.25">
      <c r="A411" s="772"/>
      <c r="B411" s="767" t="str">
        <f t="shared" si="12"/>
        <v xml:space="preserve"> </v>
      </c>
      <c r="C411" s="768" t="str">
        <f t="shared" si="13"/>
        <v xml:space="preserve"> </v>
      </c>
      <c r="D411" s="486"/>
      <c r="E411" s="308" cm="1">
        <f t="array" ref="E411">_xlfn.XLOOKUP(A411&amp;D411, $A$562:$J$562&amp;$A$563:$J$563, $A$564:$J$564, " ")</f>
        <v>0</v>
      </c>
      <c r="F411" s="872" cm="1">
        <f t="array" ref="F411">_xlfn.XLOOKUP(A411&amp;D411, $A$562:$J$562&amp;$A$563:$J$563, $A$565:$J$565, " ")</f>
        <v>0</v>
      </c>
      <c r="G411" s="510"/>
      <c r="H411" s="840"/>
      <c r="I411" s="510"/>
      <c r="J411" s="510"/>
      <c r="K411" s="511"/>
      <c r="L411" s="510"/>
      <c r="M411" s="580"/>
      <c r="N411" s="580"/>
      <c r="O411" s="580"/>
      <c r="P411" s="910"/>
      <c r="Q411" s="910"/>
      <c r="R411" s="910"/>
      <c r="S411" s="910"/>
      <c r="T411" s="910"/>
      <c r="U411" s="910"/>
      <c r="V411" s="910"/>
    </row>
    <row r="412" spans="1:22" x14ac:dyDescent="0.25">
      <c r="A412" s="772"/>
      <c r="B412" s="767" t="str">
        <f t="shared" si="12"/>
        <v xml:space="preserve"> </v>
      </c>
      <c r="C412" s="768" t="str">
        <f t="shared" si="13"/>
        <v xml:space="preserve"> </v>
      </c>
      <c r="D412" s="486"/>
      <c r="E412" s="308" cm="1">
        <f t="array" ref="E412">_xlfn.XLOOKUP(A412&amp;D412, $A$562:$J$562&amp;$A$563:$J$563, $A$564:$J$564, " ")</f>
        <v>0</v>
      </c>
      <c r="F412" s="872" cm="1">
        <f t="array" ref="F412">_xlfn.XLOOKUP(A412&amp;D412, $A$562:$J$562&amp;$A$563:$J$563, $A$565:$J$565, " ")</f>
        <v>0</v>
      </c>
      <c r="G412" s="510"/>
      <c r="H412" s="840"/>
      <c r="I412" s="510"/>
      <c r="J412" s="510"/>
      <c r="K412" s="511"/>
      <c r="L412" s="510"/>
      <c r="M412" s="580"/>
      <c r="N412" s="580"/>
      <c r="O412" s="580"/>
      <c r="P412" s="910"/>
      <c r="Q412" s="910"/>
      <c r="R412" s="910"/>
      <c r="S412" s="910"/>
      <c r="T412" s="910"/>
      <c r="U412" s="910"/>
      <c r="V412" s="910"/>
    </row>
    <row r="413" spans="1:22" x14ac:dyDescent="0.25">
      <c r="A413" s="772"/>
      <c r="B413" s="767" t="str">
        <f t="shared" si="12"/>
        <v xml:space="preserve"> </v>
      </c>
      <c r="C413" s="768" t="str">
        <f t="shared" si="13"/>
        <v xml:space="preserve"> </v>
      </c>
      <c r="D413" s="486"/>
      <c r="E413" s="308" cm="1">
        <f t="array" ref="E413">_xlfn.XLOOKUP(A413&amp;D413, $A$562:$J$562&amp;$A$563:$J$563, $A$564:$J$564, " ")</f>
        <v>0</v>
      </c>
      <c r="F413" s="872" cm="1">
        <f t="array" ref="F413">_xlfn.XLOOKUP(A413&amp;D413, $A$562:$J$562&amp;$A$563:$J$563, $A$565:$J$565, " ")</f>
        <v>0</v>
      </c>
      <c r="G413" s="510"/>
      <c r="H413" s="840"/>
      <c r="I413" s="510"/>
      <c r="J413" s="510"/>
      <c r="K413" s="511"/>
      <c r="L413" s="510"/>
      <c r="M413" s="580"/>
      <c r="N413" s="580"/>
      <c r="O413" s="580"/>
      <c r="P413" s="910"/>
      <c r="Q413" s="910"/>
      <c r="R413" s="910"/>
      <c r="S413" s="910"/>
      <c r="T413" s="910"/>
      <c r="U413" s="910"/>
      <c r="V413" s="910"/>
    </row>
    <row r="414" spans="1:22" x14ac:dyDescent="0.25">
      <c r="A414" s="772"/>
      <c r="B414" s="767" t="str">
        <f t="shared" si="12"/>
        <v xml:space="preserve"> </v>
      </c>
      <c r="C414" s="768" t="str">
        <f t="shared" si="13"/>
        <v xml:space="preserve"> </v>
      </c>
      <c r="D414" s="486"/>
      <c r="E414" s="308" cm="1">
        <f t="array" ref="E414">_xlfn.XLOOKUP(A414&amp;D414, $A$562:$J$562&amp;$A$563:$J$563, $A$564:$J$564, " ")</f>
        <v>0</v>
      </c>
      <c r="F414" s="872" cm="1">
        <f t="array" ref="F414">_xlfn.XLOOKUP(A414&amp;D414, $A$562:$J$562&amp;$A$563:$J$563, $A$565:$J$565, " ")</f>
        <v>0</v>
      </c>
      <c r="G414" s="510"/>
      <c r="H414" s="840"/>
      <c r="I414" s="510"/>
      <c r="J414" s="510"/>
      <c r="K414" s="511"/>
      <c r="L414" s="510"/>
      <c r="M414" s="580"/>
      <c r="N414" s="580"/>
      <c r="O414" s="580"/>
      <c r="P414" s="910"/>
      <c r="Q414" s="910"/>
      <c r="R414" s="910"/>
      <c r="S414" s="910"/>
      <c r="T414" s="910"/>
      <c r="U414" s="910"/>
      <c r="V414" s="910"/>
    </row>
    <row r="415" spans="1:22" x14ac:dyDescent="0.25">
      <c r="A415" s="772"/>
      <c r="B415" s="767" t="str">
        <f t="shared" si="12"/>
        <v xml:space="preserve"> </v>
      </c>
      <c r="C415" s="768" t="str">
        <f t="shared" si="13"/>
        <v xml:space="preserve"> </v>
      </c>
      <c r="D415" s="486"/>
      <c r="E415" s="308" cm="1">
        <f t="array" ref="E415">_xlfn.XLOOKUP(A415&amp;D415, $A$562:$J$562&amp;$A$563:$J$563, $A$564:$J$564, " ")</f>
        <v>0</v>
      </c>
      <c r="F415" s="872" cm="1">
        <f t="array" ref="F415">_xlfn.XLOOKUP(A415&amp;D415, $A$562:$J$562&amp;$A$563:$J$563, $A$565:$J$565, " ")</f>
        <v>0</v>
      </c>
      <c r="G415" s="510"/>
      <c r="H415" s="840"/>
      <c r="I415" s="510"/>
      <c r="J415" s="510"/>
      <c r="K415" s="511"/>
      <c r="L415" s="510"/>
      <c r="M415" s="580"/>
      <c r="N415" s="580"/>
      <c r="O415" s="580"/>
      <c r="P415" s="910"/>
      <c r="Q415" s="910"/>
      <c r="R415" s="910"/>
      <c r="S415" s="910"/>
      <c r="T415" s="910"/>
      <c r="U415" s="910"/>
      <c r="V415" s="910"/>
    </row>
    <row r="416" spans="1:22" x14ac:dyDescent="0.25">
      <c r="A416" s="772"/>
      <c r="B416" s="767" t="str">
        <f t="shared" si="12"/>
        <v xml:space="preserve"> </v>
      </c>
      <c r="C416" s="768" t="str">
        <f t="shared" si="13"/>
        <v xml:space="preserve"> </v>
      </c>
      <c r="D416" s="486"/>
      <c r="E416" s="308" cm="1">
        <f t="array" ref="E416">_xlfn.XLOOKUP(A416&amp;D416, $A$562:$J$562&amp;$A$563:$J$563, $A$564:$J$564, " ")</f>
        <v>0</v>
      </c>
      <c r="F416" s="872" cm="1">
        <f t="array" ref="F416">_xlfn.XLOOKUP(A416&amp;D416, $A$562:$J$562&amp;$A$563:$J$563, $A$565:$J$565, " ")</f>
        <v>0</v>
      </c>
      <c r="G416" s="510"/>
      <c r="H416" s="840"/>
      <c r="I416" s="510"/>
      <c r="J416" s="510"/>
      <c r="K416" s="511"/>
      <c r="L416" s="510"/>
      <c r="M416" s="580"/>
      <c r="N416" s="580"/>
      <c r="O416" s="580"/>
      <c r="P416" s="910"/>
      <c r="Q416" s="910"/>
      <c r="R416" s="910"/>
      <c r="S416" s="910"/>
      <c r="T416" s="910"/>
      <c r="U416" s="910"/>
      <c r="V416" s="910"/>
    </row>
    <row r="417" spans="1:22" x14ac:dyDescent="0.25">
      <c r="A417" s="772"/>
      <c r="B417" s="767" t="str">
        <f t="shared" si="12"/>
        <v xml:space="preserve"> </v>
      </c>
      <c r="C417" s="768" t="str">
        <f t="shared" si="13"/>
        <v xml:space="preserve"> </v>
      </c>
      <c r="D417" s="486"/>
      <c r="E417" s="308" cm="1">
        <f t="array" ref="E417">_xlfn.XLOOKUP(A417&amp;D417, $A$562:$J$562&amp;$A$563:$J$563, $A$564:$J$564, " ")</f>
        <v>0</v>
      </c>
      <c r="F417" s="872" cm="1">
        <f t="array" ref="F417">_xlfn.XLOOKUP(A417&amp;D417, $A$562:$J$562&amp;$A$563:$J$563, $A$565:$J$565, " ")</f>
        <v>0</v>
      </c>
      <c r="G417" s="510"/>
      <c r="H417" s="840"/>
      <c r="I417" s="510"/>
      <c r="J417" s="510"/>
      <c r="K417" s="511"/>
      <c r="L417" s="510"/>
      <c r="M417" s="580"/>
      <c r="N417" s="580"/>
      <c r="O417" s="580"/>
      <c r="P417" s="910"/>
      <c r="Q417" s="910"/>
      <c r="R417" s="910"/>
      <c r="S417" s="910"/>
      <c r="T417" s="910"/>
      <c r="U417" s="910"/>
      <c r="V417" s="910"/>
    </row>
    <row r="418" spans="1:22" x14ac:dyDescent="0.25">
      <c r="A418" s="772"/>
      <c r="B418" s="767" t="str">
        <f t="shared" si="12"/>
        <v xml:space="preserve"> </v>
      </c>
      <c r="C418" s="768" t="str">
        <f t="shared" si="13"/>
        <v xml:space="preserve"> </v>
      </c>
      <c r="D418" s="486"/>
      <c r="E418" s="308" cm="1">
        <f t="array" ref="E418">_xlfn.XLOOKUP(A418&amp;D418, $A$562:$J$562&amp;$A$563:$J$563, $A$564:$J$564, " ")</f>
        <v>0</v>
      </c>
      <c r="F418" s="872" cm="1">
        <f t="array" ref="F418">_xlfn.XLOOKUP(A418&amp;D418, $A$562:$J$562&amp;$A$563:$J$563, $A$565:$J$565, " ")</f>
        <v>0</v>
      </c>
      <c r="G418" s="510"/>
      <c r="H418" s="840"/>
      <c r="I418" s="510"/>
      <c r="J418" s="510"/>
      <c r="K418" s="511"/>
      <c r="L418" s="510"/>
      <c r="M418" s="580"/>
      <c r="N418" s="580"/>
      <c r="O418" s="580"/>
      <c r="P418" s="910"/>
      <c r="Q418" s="910"/>
      <c r="R418" s="910"/>
      <c r="S418" s="910"/>
      <c r="T418" s="910"/>
      <c r="U418" s="910"/>
      <c r="V418" s="910"/>
    </row>
    <row r="419" spans="1:22" x14ac:dyDescent="0.25">
      <c r="A419" s="772"/>
      <c r="B419" s="767" t="str">
        <f t="shared" si="12"/>
        <v xml:space="preserve"> </v>
      </c>
      <c r="C419" s="768" t="str">
        <f t="shared" si="13"/>
        <v xml:space="preserve"> </v>
      </c>
      <c r="D419" s="486"/>
      <c r="E419" s="308" cm="1">
        <f t="array" ref="E419">_xlfn.XLOOKUP(A419&amp;D419, $A$562:$J$562&amp;$A$563:$J$563, $A$564:$J$564, " ")</f>
        <v>0</v>
      </c>
      <c r="F419" s="872" cm="1">
        <f t="array" ref="F419">_xlfn.XLOOKUP(A419&amp;D419, $A$562:$J$562&amp;$A$563:$J$563, $A$565:$J$565, " ")</f>
        <v>0</v>
      </c>
      <c r="G419" s="510"/>
      <c r="H419" s="840"/>
      <c r="I419" s="510"/>
      <c r="J419" s="510"/>
      <c r="K419" s="511"/>
      <c r="L419" s="510"/>
      <c r="M419" s="580"/>
      <c r="N419" s="580"/>
      <c r="O419" s="580"/>
      <c r="P419" s="910"/>
      <c r="Q419" s="910"/>
      <c r="R419" s="910"/>
      <c r="S419" s="910"/>
      <c r="T419" s="910"/>
      <c r="U419" s="910"/>
      <c r="V419" s="910"/>
    </row>
    <row r="420" spans="1:22" x14ac:dyDescent="0.25">
      <c r="A420" s="772"/>
      <c r="B420" s="767" t="str">
        <f t="shared" si="12"/>
        <v xml:space="preserve"> </v>
      </c>
      <c r="C420" s="768" t="str">
        <f t="shared" si="13"/>
        <v xml:space="preserve"> </v>
      </c>
      <c r="D420" s="486"/>
      <c r="E420" s="308" cm="1">
        <f t="array" ref="E420">_xlfn.XLOOKUP(A420&amp;D420, $A$562:$J$562&amp;$A$563:$J$563, $A$564:$J$564, " ")</f>
        <v>0</v>
      </c>
      <c r="F420" s="872" cm="1">
        <f t="array" ref="F420">_xlfn.XLOOKUP(A420&amp;D420, $A$562:$J$562&amp;$A$563:$J$563, $A$565:$J$565, " ")</f>
        <v>0</v>
      </c>
      <c r="G420" s="510"/>
      <c r="H420" s="840"/>
      <c r="I420" s="510"/>
      <c r="J420" s="510"/>
      <c r="K420" s="511"/>
      <c r="L420" s="510"/>
      <c r="M420" s="580"/>
      <c r="N420" s="580"/>
      <c r="O420" s="580"/>
      <c r="P420" s="910"/>
      <c r="Q420" s="910"/>
      <c r="R420" s="910"/>
      <c r="S420" s="910"/>
      <c r="T420" s="910"/>
      <c r="U420" s="910"/>
      <c r="V420" s="910"/>
    </row>
    <row r="421" spans="1:22" x14ac:dyDescent="0.25">
      <c r="A421" s="772"/>
      <c r="B421" s="767" t="str">
        <f t="shared" si="12"/>
        <v xml:space="preserve"> </v>
      </c>
      <c r="C421" s="768" t="str">
        <f t="shared" si="13"/>
        <v xml:space="preserve"> </v>
      </c>
      <c r="D421" s="486"/>
      <c r="E421" s="308" cm="1">
        <f t="array" ref="E421">_xlfn.XLOOKUP(A421&amp;D421, $A$562:$J$562&amp;$A$563:$J$563, $A$564:$J$564, " ")</f>
        <v>0</v>
      </c>
      <c r="F421" s="872" cm="1">
        <f t="array" ref="F421">_xlfn.XLOOKUP(A421&amp;D421, $A$562:$J$562&amp;$A$563:$J$563, $A$565:$J$565, " ")</f>
        <v>0</v>
      </c>
      <c r="G421" s="510"/>
      <c r="H421" s="840"/>
      <c r="I421" s="510"/>
      <c r="J421" s="510"/>
      <c r="K421" s="511"/>
      <c r="L421" s="510"/>
      <c r="M421" s="580"/>
      <c r="N421" s="580"/>
      <c r="O421" s="580"/>
      <c r="P421" s="910"/>
      <c r="Q421" s="910"/>
      <c r="R421" s="910"/>
      <c r="S421" s="910"/>
      <c r="T421" s="910"/>
      <c r="U421" s="910"/>
      <c r="V421" s="910"/>
    </row>
    <row r="422" spans="1:22" x14ac:dyDescent="0.25">
      <c r="A422" s="772"/>
      <c r="B422" s="767" t="str">
        <f t="shared" si="12"/>
        <v xml:space="preserve"> </v>
      </c>
      <c r="C422" s="768" t="str">
        <f t="shared" si="13"/>
        <v xml:space="preserve"> </v>
      </c>
      <c r="D422" s="486"/>
      <c r="E422" s="308" cm="1">
        <f t="array" ref="E422">_xlfn.XLOOKUP(A422&amp;D422, $A$562:$J$562&amp;$A$563:$J$563, $A$564:$J$564, " ")</f>
        <v>0</v>
      </c>
      <c r="F422" s="872" cm="1">
        <f t="array" ref="F422">_xlfn.XLOOKUP(A422&amp;D422, $A$562:$J$562&amp;$A$563:$J$563, $A$565:$J$565, " ")</f>
        <v>0</v>
      </c>
      <c r="G422" s="510"/>
      <c r="H422" s="840"/>
      <c r="I422" s="510"/>
      <c r="J422" s="510"/>
      <c r="K422" s="511"/>
      <c r="L422" s="510"/>
      <c r="M422" s="580"/>
      <c r="N422" s="580"/>
      <c r="O422" s="580"/>
      <c r="P422" s="910"/>
      <c r="Q422" s="910"/>
      <c r="R422" s="910"/>
      <c r="S422" s="910"/>
      <c r="T422" s="910"/>
      <c r="U422" s="910"/>
      <c r="V422" s="910"/>
    </row>
    <row r="423" spans="1:22" x14ac:dyDescent="0.25">
      <c r="A423" s="772"/>
      <c r="B423" s="767" t="str">
        <f t="shared" si="12"/>
        <v xml:space="preserve"> </v>
      </c>
      <c r="C423" s="768" t="str">
        <f t="shared" si="13"/>
        <v xml:space="preserve"> </v>
      </c>
      <c r="D423" s="486"/>
      <c r="E423" s="308" cm="1">
        <f t="array" ref="E423">_xlfn.XLOOKUP(A423&amp;D423, $A$562:$J$562&amp;$A$563:$J$563, $A$564:$J$564, " ")</f>
        <v>0</v>
      </c>
      <c r="F423" s="872" cm="1">
        <f t="array" ref="F423">_xlfn.XLOOKUP(A423&amp;D423, $A$562:$J$562&amp;$A$563:$J$563, $A$565:$J$565, " ")</f>
        <v>0</v>
      </c>
      <c r="G423" s="510"/>
      <c r="H423" s="840"/>
      <c r="I423" s="510"/>
      <c r="J423" s="510"/>
      <c r="K423" s="511"/>
      <c r="L423" s="510"/>
      <c r="M423" s="580"/>
      <c r="N423" s="580"/>
      <c r="O423" s="580"/>
      <c r="P423" s="910"/>
      <c r="Q423" s="910"/>
      <c r="R423" s="910"/>
      <c r="S423" s="910"/>
      <c r="T423" s="910"/>
      <c r="U423" s="910"/>
      <c r="V423" s="910"/>
    </row>
    <row r="424" spans="1:22" x14ac:dyDescent="0.25">
      <c r="A424" s="772"/>
      <c r="B424" s="767" t="str">
        <f t="shared" si="12"/>
        <v xml:space="preserve"> </v>
      </c>
      <c r="C424" s="768" t="str">
        <f t="shared" si="13"/>
        <v xml:space="preserve"> </v>
      </c>
      <c r="D424" s="486"/>
      <c r="E424" s="308" cm="1">
        <f t="array" ref="E424">_xlfn.XLOOKUP(A424&amp;D424, $A$562:$J$562&amp;$A$563:$J$563, $A$564:$J$564, " ")</f>
        <v>0</v>
      </c>
      <c r="F424" s="872" cm="1">
        <f t="array" ref="F424">_xlfn.XLOOKUP(A424&amp;D424, $A$562:$J$562&amp;$A$563:$J$563, $A$565:$J$565, " ")</f>
        <v>0</v>
      </c>
      <c r="G424" s="510"/>
      <c r="H424" s="840"/>
      <c r="I424" s="510"/>
      <c r="J424" s="510"/>
      <c r="K424" s="511"/>
      <c r="L424" s="510"/>
      <c r="M424" s="580"/>
      <c r="N424" s="580"/>
      <c r="O424" s="580"/>
      <c r="P424" s="910"/>
      <c r="Q424" s="910"/>
      <c r="R424" s="910"/>
      <c r="S424" s="910"/>
      <c r="T424" s="910"/>
      <c r="U424" s="910"/>
      <c r="V424" s="910"/>
    </row>
    <row r="425" spans="1:22" x14ac:dyDescent="0.25">
      <c r="A425" s="772"/>
      <c r="B425" s="767" t="str">
        <f t="shared" si="12"/>
        <v xml:space="preserve"> </v>
      </c>
      <c r="C425" s="768" t="str">
        <f t="shared" si="13"/>
        <v xml:space="preserve"> </v>
      </c>
      <c r="D425" s="486"/>
      <c r="E425" s="308" cm="1">
        <f t="array" ref="E425">_xlfn.XLOOKUP(A425&amp;D425, $A$562:$J$562&amp;$A$563:$J$563, $A$564:$J$564, " ")</f>
        <v>0</v>
      </c>
      <c r="F425" s="872" cm="1">
        <f t="array" ref="F425">_xlfn.XLOOKUP(A425&amp;D425, $A$562:$J$562&amp;$A$563:$J$563, $A$565:$J$565, " ")</f>
        <v>0</v>
      </c>
      <c r="G425" s="510"/>
      <c r="H425" s="840"/>
      <c r="I425" s="510"/>
      <c r="J425" s="510"/>
      <c r="K425" s="511"/>
      <c r="L425" s="510"/>
      <c r="M425" s="580"/>
      <c r="N425" s="580"/>
      <c r="O425" s="580"/>
      <c r="P425" s="910"/>
      <c r="Q425" s="910"/>
      <c r="R425" s="910"/>
      <c r="S425" s="910"/>
      <c r="T425" s="910"/>
      <c r="U425" s="910"/>
      <c r="V425" s="910"/>
    </row>
    <row r="426" spans="1:22" x14ac:dyDescent="0.25">
      <c r="A426" s="772"/>
      <c r="B426" s="767" t="str">
        <f t="shared" si="12"/>
        <v xml:space="preserve"> </v>
      </c>
      <c r="C426" s="768" t="str">
        <f t="shared" si="13"/>
        <v xml:space="preserve"> </v>
      </c>
      <c r="D426" s="486"/>
      <c r="E426" s="308" cm="1">
        <f t="array" ref="E426">_xlfn.XLOOKUP(A426&amp;D426, $A$562:$J$562&amp;$A$563:$J$563, $A$564:$J$564, " ")</f>
        <v>0</v>
      </c>
      <c r="F426" s="872" cm="1">
        <f t="array" ref="F426">_xlfn.XLOOKUP(A426&amp;D426, $A$562:$J$562&amp;$A$563:$J$563, $A$565:$J$565, " ")</f>
        <v>0</v>
      </c>
      <c r="G426" s="510"/>
      <c r="H426" s="840"/>
      <c r="I426" s="510"/>
      <c r="J426" s="510"/>
      <c r="K426" s="511"/>
      <c r="L426" s="510"/>
      <c r="M426" s="580"/>
      <c r="N426" s="580"/>
      <c r="O426" s="580"/>
      <c r="P426" s="910"/>
      <c r="Q426" s="910"/>
      <c r="R426" s="910"/>
      <c r="S426" s="910"/>
      <c r="T426" s="910"/>
      <c r="U426" s="910"/>
      <c r="V426" s="910"/>
    </row>
    <row r="427" spans="1:22" x14ac:dyDescent="0.25">
      <c r="A427" s="772"/>
      <c r="B427" s="767" t="str">
        <f t="shared" si="12"/>
        <v xml:space="preserve"> </v>
      </c>
      <c r="C427" s="768" t="str">
        <f t="shared" si="13"/>
        <v xml:space="preserve"> </v>
      </c>
      <c r="D427" s="486"/>
      <c r="E427" s="308" cm="1">
        <f t="array" ref="E427">_xlfn.XLOOKUP(A427&amp;D427, $A$562:$J$562&amp;$A$563:$J$563, $A$564:$J$564, " ")</f>
        <v>0</v>
      </c>
      <c r="F427" s="872" cm="1">
        <f t="array" ref="F427">_xlfn.XLOOKUP(A427&amp;D427, $A$562:$J$562&amp;$A$563:$J$563, $A$565:$J$565, " ")</f>
        <v>0</v>
      </c>
      <c r="G427" s="510"/>
      <c r="H427" s="840"/>
      <c r="I427" s="510"/>
      <c r="J427" s="510"/>
      <c r="K427" s="511"/>
      <c r="L427" s="510"/>
      <c r="M427" s="580"/>
      <c r="N427" s="580"/>
      <c r="O427" s="580"/>
      <c r="P427" s="910"/>
      <c r="Q427" s="910"/>
      <c r="R427" s="910"/>
      <c r="S427" s="910"/>
      <c r="T427" s="910"/>
      <c r="U427" s="910"/>
      <c r="V427" s="910"/>
    </row>
    <row r="428" spans="1:22" x14ac:dyDescent="0.25">
      <c r="A428" s="772"/>
      <c r="B428" s="767" t="str">
        <f t="shared" si="12"/>
        <v xml:space="preserve"> </v>
      </c>
      <c r="C428" s="768" t="str">
        <f t="shared" si="13"/>
        <v xml:space="preserve"> </v>
      </c>
      <c r="D428" s="486"/>
      <c r="E428" s="308" cm="1">
        <f t="array" ref="E428">_xlfn.XLOOKUP(A428&amp;D428, $A$562:$J$562&amp;$A$563:$J$563, $A$564:$J$564, " ")</f>
        <v>0</v>
      </c>
      <c r="F428" s="872" cm="1">
        <f t="array" ref="F428">_xlfn.XLOOKUP(A428&amp;D428, $A$562:$J$562&amp;$A$563:$J$563, $A$565:$J$565, " ")</f>
        <v>0</v>
      </c>
      <c r="G428" s="510"/>
      <c r="H428" s="840"/>
      <c r="I428" s="510"/>
      <c r="J428" s="510"/>
      <c r="K428" s="511"/>
      <c r="L428" s="510"/>
      <c r="M428" s="580"/>
      <c r="N428" s="580"/>
      <c r="O428" s="580"/>
      <c r="P428" s="910"/>
      <c r="Q428" s="910"/>
      <c r="R428" s="910"/>
      <c r="S428" s="910"/>
      <c r="T428" s="910"/>
      <c r="U428" s="910"/>
      <c r="V428" s="910"/>
    </row>
    <row r="429" spans="1:22" x14ac:dyDescent="0.25">
      <c r="A429" s="772"/>
      <c r="B429" s="767" t="str">
        <f t="shared" si="12"/>
        <v xml:space="preserve"> </v>
      </c>
      <c r="C429" s="768" t="str">
        <f t="shared" si="13"/>
        <v xml:space="preserve"> </v>
      </c>
      <c r="D429" s="486"/>
      <c r="E429" s="308" cm="1">
        <f t="array" ref="E429">_xlfn.XLOOKUP(A429&amp;D429, $A$562:$J$562&amp;$A$563:$J$563, $A$564:$J$564, " ")</f>
        <v>0</v>
      </c>
      <c r="F429" s="872" cm="1">
        <f t="array" ref="F429">_xlfn.XLOOKUP(A429&amp;D429, $A$562:$J$562&amp;$A$563:$J$563, $A$565:$J$565, " ")</f>
        <v>0</v>
      </c>
      <c r="G429" s="510"/>
      <c r="H429" s="840"/>
      <c r="I429" s="510"/>
      <c r="J429" s="510"/>
      <c r="K429" s="511"/>
      <c r="L429" s="510"/>
      <c r="M429" s="580"/>
      <c r="N429" s="580"/>
      <c r="O429" s="580"/>
      <c r="P429" s="910"/>
      <c r="Q429" s="910"/>
      <c r="R429" s="910"/>
      <c r="S429" s="910"/>
      <c r="T429" s="910"/>
      <c r="U429" s="910"/>
      <c r="V429" s="910"/>
    </row>
    <row r="430" spans="1:22" x14ac:dyDescent="0.25">
      <c r="A430" s="772"/>
      <c r="B430" s="767" t="str">
        <f t="shared" si="12"/>
        <v xml:space="preserve"> </v>
      </c>
      <c r="C430" s="768" t="str">
        <f t="shared" si="13"/>
        <v xml:space="preserve"> </v>
      </c>
      <c r="D430" s="486"/>
      <c r="E430" s="308" cm="1">
        <f t="array" ref="E430">_xlfn.XLOOKUP(A430&amp;D430, $A$562:$J$562&amp;$A$563:$J$563, $A$564:$J$564, " ")</f>
        <v>0</v>
      </c>
      <c r="F430" s="872" cm="1">
        <f t="array" ref="F430">_xlfn.XLOOKUP(A430&amp;D430, $A$562:$J$562&amp;$A$563:$J$563, $A$565:$J$565, " ")</f>
        <v>0</v>
      </c>
      <c r="G430" s="510"/>
      <c r="H430" s="840"/>
      <c r="I430" s="510"/>
      <c r="J430" s="510"/>
      <c r="K430" s="511"/>
      <c r="L430" s="510"/>
      <c r="M430" s="580"/>
      <c r="N430" s="580"/>
      <c r="O430" s="580"/>
      <c r="P430" s="910"/>
      <c r="Q430" s="910"/>
      <c r="R430" s="910"/>
      <c r="S430" s="910"/>
      <c r="T430" s="910"/>
      <c r="U430" s="910"/>
      <c r="V430" s="910"/>
    </row>
    <row r="431" spans="1:22" x14ac:dyDescent="0.25">
      <c r="A431" s="772"/>
      <c r="B431" s="767" t="str">
        <f t="shared" si="12"/>
        <v xml:space="preserve"> </v>
      </c>
      <c r="C431" s="768" t="str">
        <f t="shared" si="13"/>
        <v xml:space="preserve"> </v>
      </c>
      <c r="D431" s="486"/>
      <c r="E431" s="308" cm="1">
        <f t="array" ref="E431">_xlfn.XLOOKUP(A431&amp;D431, $A$562:$J$562&amp;$A$563:$J$563, $A$564:$J$564, " ")</f>
        <v>0</v>
      </c>
      <c r="F431" s="872" cm="1">
        <f t="array" ref="F431">_xlfn.XLOOKUP(A431&amp;D431, $A$562:$J$562&amp;$A$563:$J$563, $A$565:$J$565, " ")</f>
        <v>0</v>
      </c>
      <c r="G431" s="510"/>
      <c r="H431" s="840"/>
      <c r="I431" s="510"/>
      <c r="J431" s="510"/>
      <c r="K431" s="511"/>
      <c r="L431" s="510"/>
      <c r="M431" s="580"/>
      <c r="N431" s="580"/>
      <c r="O431" s="580"/>
      <c r="P431" s="910"/>
      <c r="Q431" s="910"/>
      <c r="R431" s="910"/>
      <c r="S431" s="910"/>
      <c r="T431" s="910"/>
      <c r="U431" s="910"/>
      <c r="V431" s="910"/>
    </row>
    <row r="432" spans="1:22" x14ac:dyDescent="0.25">
      <c r="A432" s="772"/>
      <c r="B432" s="767" t="str">
        <f t="shared" si="12"/>
        <v xml:space="preserve"> </v>
      </c>
      <c r="C432" s="768" t="str">
        <f t="shared" si="13"/>
        <v xml:space="preserve"> </v>
      </c>
      <c r="D432" s="486"/>
      <c r="E432" s="308" cm="1">
        <f t="array" ref="E432">_xlfn.XLOOKUP(A432&amp;D432, $A$562:$J$562&amp;$A$563:$J$563, $A$564:$J$564, " ")</f>
        <v>0</v>
      </c>
      <c r="F432" s="872" cm="1">
        <f t="array" ref="F432">_xlfn.XLOOKUP(A432&amp;D432, $A$562:$J$562&amp;$A$563:$J$563, $A$565:$J$565, " ")</f>
        <v>0</v>
      </c>
      <c r="G432" s="510"/>
      <c r="H432" s="840"/>
      <c r="I432" s="510"/>
      <c r="J432" s="510"/>
      <c r="K432" s="511"/>
      <c r="L432" s="510"/>
      <c r="M432" s="580"/>
      <c r="N432" s="580"/>
      <c r="O432" s="580"/>
      <c r="P432" s="910"/>
      <c r="Q432" s="910"/>
      <c r="R432" s="910"/>
      <c r="S432" s="910"/>
      <c r="T432" s="910"/>
      <c r="U432" s="910"/>
      <c r="V432" s="910"/>
    </row>
    <row r="433" spans="1:22" x14ac:dyDescent="0.25">
      <c r="A433" s="772"/>
      <c r="B433" s="767" t="str">
        <f t="shared" si="12"/>
        <v xml:space="preserve"> </v>
      </c>
      <c r="C433" s="768" t="str">
        <f t="shared" si="13"/>
        <v xml:space="preserve"> </v>
      </c>
      <c r="D433" s="486"/>
      <c r="E433" s="308" cm="1">
        <f t="array" ref="E433">_xlfn.XLOOKUP(A433&amp;D433, $A$562:$J$562&amp;$A$563:$J$563, $A$564:$J$564, " ")</f>
        <v>0</v>
      </c>
      <c r="F433" s="872" cm="1">
        <f t="array" ref="F433">_xlfn.XLOOKUP(A433&amp;D433, $A$562:$J$562&amp;$A$563:$J$563, $A$565:$J$565, " ")</f>
        <v>0</v>
      </c>
      <c r="G433" s="510"/>
      <c r="H433" s="840"/>
      <c r="I433" s="510"/>
      <c r="J433" s="510"/>
      <c r="K433" s="511"/>
      <c r="L433" s="510"/>
      <c r="M433" s="580"/>
      <c r="N433" s="580"/>
      <c r="O433" s="580"/>
      <c r="P433" s="910"/>
      <c r="Q433" s="910"/>
      <c r="R433" s="910"/>
      <c r="S433" s="910"/>
      <c r="T433" s="910"/>
      <c r="U433" s="910"/>
      <c r="V433" s="910"/>
    </row>
    <row r="434" spans="1:22" x14ac:dyDescent="0.25">
      <c r="A434" s="772"/>
      <c r="B434" s="767" t="str">
        <f t="shared" si="12"/>
        <v xml:space="preserve"> </v>
      </c>
      <c r="C434" s="768" t="str">
        <f t="shared" si="13"/>
        <v xml:space="preserve"> </v>
      </c>
      <c r="D434" s="486"/>
      <c r="E434" s="308" cm="1">
        <f t="array" ref="E434">_xlfn.XLOOKUP(A434&amp;D434, $A$562:$J$562&amp;$A$563:$J$563, $A$564:$J$564, " ")</f>
        <v>0</v>
      </c>
      <c r="F434" s="872" cm="1">
        <f t="array" ref="F434">_xlfn.XLOOKUP(A434&amp;D434, $A$562:$J$562&amp;$A$563:$J$563, $A$565:$J$565, " ")</f>
        <v>0</v>
      </c>
      <c r="G434" s="510"/>
      <c r="H434" s="840"/>
      <c r="I434" s="510"/>
      <c r="J434" s="510"/>
      <c r="K434" s="511"/>
      <c r="L434" s="510"/>
      <c r="M434" s="580"/>
      <c r="N434" s="580"/>
      <c r="O434" s="580"/>
      <c r="P434" s="910"/>
      <c r="Q434" s="910"/>
      <c r="R434" s="910"/>
      <c r="S434" s="910"/>
      <c r="T434" s="910"/>
      <c r="U434" s="910"/>
      <c r="V434" s="910"/>
    </row>
    <row r="435" spans="1:22" x14ac:dyDescent="0.25">
      <c r="A435" s="772"/>
      <c r="B435" s="767" t="str">
        <f t="shared" si="12"/>
        <v xml:space="preserve"> </v>
      </c>
      <c r="C435" s="768" t="str">
        <f t="shared" si="13"/>
        <v xml:space="preserve"> </v>
      </c>
      <c r="D435" s="486"/>
      <c r="E435" s="308" cm="1">
        <f t="array" ref="E435">_xlfn.XLOOKUP(A435&amp;D435, $A$562:$J$562&amp;$A$563:$J$563, $A$564:$J$564, " ")</f>
        <v>0</v>
      </c>
      <c r="F435" s="872" cm="1">
        <f t="array" ref="F435">_xlfn.XLOOKUP(A435&amp;D435, $A$562:$J$562&amp;$A$563:$J$563, $A$565:$J$565, " ")</f>
        <v>0</v>
      </c>
      <c r="G435" s="510"/>
      <c r="H435" s="840"/>
      <c r="I435" s="510"/>
      <c r="J435" s="510"/>
      <c r="K435" s="511"/>
      <c r="L435" s="510"/>
      <c r="M435" s="580"/>
      <c r="N435" s="580"/>
      <c r="O435" s="580"/>
      <c r="P435" s="910"/>
      <c r="Q435" s="910"/>
      <c r="R435" s="910"/>
      <c r="S435" s="910"/>
      <c r="T435" s="910"/>
      <c r="U435" s="910"/>
      <c r="V435" s="910"/>
    </row>
    <row r="436" spans="1:22" x14ac:dyDescent="0.25">
      <c r="A436" s="772"/>
      <c r="B436" s="767" t="str">
        <f t="shared" si="12"/>
        <v xml:space="preserve"> </v>
      </c>
      <c r="C436" s="768" t="str">
        <f t="shared" si="13"/>
        <v xml:space="preserve"> </v>
      </c>
      <c r="D436" s="486"/>
      <c r="E436" s="308" cm="1">
        <f t="array" ref="E436">_xlfn.XLOOKUP(A436&amp;D436, $A$562:$J$562&amp;$A$563:$J$563, $A$564:$J$564, " ")</f>
        <v>0</v>
      </c>
      <c r="F436" s="872" cm="1">
        <f t="array" ref="F436">_xlfn.XLOOKUP(A436&amp;D436, $A$562:$J$562&amp;$A$563:$J$563, $A$565:$J$565, " ")</f>
        <v>0</v>
      </c>
      <c r="G436" s="510"/>
      <c r="H436" s="840"/>
      <c r="I436" s="510"/>
      <c r="J436" s="510"/>
      <c r="K436" s="511"/>
      <c r="L436" s="510"/>
      <c r="M436" s="580"/>
      <c r="N436" s="580"/>
      <c r="O436" s="580"/>
      <c r="P436" s="910"/>
      <c r="Q436" s="910"/>
      <c r="R436" s="910"/>
      <c r="S436" s="910"/>
      <c r="T436" s="910"/>
      <c r="U436" s="910"/>
      <c r="V436" s="910"/>
    </row>
    <row r="437" spans="1:22" x14ac:dyDescent="0.25">
      <c r="A437" s="772"/>
      <c r="B437" s="767" t="str">
        <f t="shared" si="12"/>
        <v xml:space="preserve"> </v>
      </c>
      <c r="C437" s="768" t="str">
        <f t="shared" si="13"/>
        <v xml:space="preserve"> </v>
      </c>
      <c r="D437" s="486"/>
      <c r="E437" s="308" cm="1">
        <f t="array" ref="E437">_xlfn.XLOOKUP(A437&amp;D437, $A$562:$J$562&amp;$A$563:$J$563, $A$564:$J$564, " ")</f>
        <v>0</v>
      </c>
      <c r="F437" s="872" cm="1">
        <f t="array" ref="F437">_xlfn.XLOOKUP(A437&amp;D437, $A$562:$J$562&amp;$A$563:$J$563, $A$565:$J$565, " ")</f>
        <v>0</v>
      </c>
      <c r="G437" s="510"/>
      <c r="H437" s="840"/>
      <c r="I437" s="510"/>
      <c r="J437" s="510"/>
      <c r="K437" s="511"/>
      <c r="L437" s="510"/>
      <c r="M437" s="580"/>
      <c r="N437" s="580"/>
      <c r="O437" s="580"/>
      <c r="P437" s="910"/>
      <c r="Q437" s="910"/>
      <c r="R437" s="910"/>
      <c r="S437" s="910"/>
      <c r="T437" s="910"/>
      <c r="U437" s="910"/>
      <c r="V437" s="910"/>
    </row>
    <row r="438" spans="1:22" x14ac:dyDescent="0.25">
      <c r="A438" s="772"/>
      <c r="B438" s="767" t="str">
        <f t="shared" si="12"/>
        <v xml:space="preserve"> </v>
      </c>
      <c r="C438" s="768" t="str">
        <f t="shared" si="13"/>
        <v xml:space="preserve"> </v>
      </c>
      <c r="D438" s="486"/>
      <c r="E438" s="308" cm="1">
        <f t="array" ref="E438">_xlfn.XLOOKUP(A438&amp;D438, $A$562:$J$562&amp;$A$563:$J$563, $A$564:$J$564, " ")</f>
        <v>0</v>
      </c>
      <c r="F438" s="872" cm="1">
        <f t="array" ref="F438">_xlfn.XLOOKUP(A438&amp;D438, $A$562:$J$562&amp;$A$563:$J$563, $A$565:$J$565, " ")</f>
        <v>0</v>
      </c>
      <c r="G438" s="510"/>
      <c r="H438" s="840"/>
      <c r="I438" s="510"/>
      <c r="J438" s="510"/>
      <c r="K438" s="511"/>
      <c r="L438" s="510"/>
      <c r="M438" s="580"/>
      <c r="N438" s="580"/>
      <c r="O438" s="580"/>
      <c r="P438" s="910"/>
      <c r="Q438" s="910"/>
      <c r="R438" s="910"/>
      <c r="S438" s="910"/>
      <c r="T438" s="910"/>
      <c r="U438" s="910"/>
      <c r="V438" s="910"/>
    </row>
    <row r="439" spans="1:22" x14ac:dyDescent="0.25">
      <c r="A439" s="772"/>
      <c r="B439" s="767" t="str">
        <f t="shared" si="12"/>
        <v xml:space="preserve"> </v>
      </c>
      <c r="C439" s="768" t="str">
        <f t="shared" si="13"/>
        <v xml:space="preserve"> </v>
      </c>
      <c r="D439" s="486"/>
      <c r="E439" s="308" cm="1">
        <f t="array" ref="E439">_xlfn.XLOOKUP(A439&amp;D439, $A$562:$J$562&amp;$A$563:$J$563, $A$564:$J$564, " ")</f>
        <v>0</v>
      </c>
      <c r="F439" s="872" cm="1">
        <f t="array" ref="F439">_xlfn.XLOOKUP(A439&amp;D439, $A$562:$J$562&amp;$A$563:$J$563, $A$565:$J$565, " ")</f>
        <v>0</v>
      </c>
      <c r="G439" s="510"/>
      <c r="H439" s="840"/>
      <c r="I439" s="510"/>
      <c r="J439" s="510"/>
      <c r="K439" s="511"/>
      <c r="L439" s="510"/>
      <c r="M439" s="580"/>
      <c r="N439" s="580"/>
      <c r="O439" s="580"/>
      <c r="P439" s="910"/>
      <c r="Q439" s="910"/>
      <c r="R439" s="910"/>
      <c r="S439" s="910"/>
      <c r="T439" s="910"/>
      <c r="U439" s="910"/>
      <c r="V439" s="910"/>
    </row>
    <row r="440" spans="1:22" x14ac:dyDescent="0.25">
      <c r="A440" s="772"/>
      <c r="B440" s="767" t="str">
        <f t="shared" si="12"/>
        <v xml:space="preserve"> </v>
      </c>
      <c r="C440" s="768" t="str">
        <f t="shared" si="13"/>
        <v xml:space="preserve"> </v>
      </c>
      <c r="D440" s="486"/>
      <c r="E440" s="308" cm="1">
        <f t="array" ref="E440">_xlfn.XLOOKUP(A440&amp;D440, $A$562:$J$562&amp;$A$563:$J$563, $A$564:$J$564, " ")</f>
        <v>0</v>
      </c>
      <c r="F440" s="872" cm="1">
        <f t="array" ref="F440">_xlfn.XLOOKUP(A440&amp;D440, $A$562:$J$562&amp;$A$563:$J$563, $A$565:$J$565, " ")</f>
        <v>0</v>
      </c>
      <c r="G440" s="510"/>
      <c r="H440" s="840"/>
      <c r="I440" s="510"/>
      <c r="J440" s="510"/>
      <c r="K440" s="511"/>
      <c r="L440" s="510"/>
      <c r="M440" s="580"/>
      <c r="N440" s="580"/>
      <c r="O440" s="580"/>
      <c r="P440" s="910"/>
      <c r="Q440" s="910"/>
      <c r="R440" s="910"/>
      <c r="S440" s="910"/>
      <c r="T440" s="910"/>
      <c r="U440" s="910"/>
      <c r="V440" s="910"/>
    </row>
    <row r="441" spans="1:22" x14ac:dyDescent="0.25">
      <c r="A441" s="772"/>
      <c r="B441" s="767" t="str">
        <f t="shared" si="12"/>
        <v xml:space="preserve"> </v>
      </c>
      <c r="C441" s="768" t="str">
        <f t="shared" si="13"/>
        <v xml:space="preserve"> </v>
      </c>
      <c r="D441" s="486"/>
      <c r="E441" s="308" cm="1">
        <f t="array" ref="E441">_xlfn.XLOOKUP(A441&amp;D441, $A$562:$J$562&amp;$A$563:$J$563, $A$564:$J$564, " ")</f>
        <v>0</v>
      </c>
      <c r="F441" s="872" cm="1">
        <f t="array" ref="F441">_xlfn.XLOOKUP(A441&amp;D441, $A$562:$J$562&amp;$A$563:$J$563, $A$565:$J$565, " ")</f>
        <v>0</v>
      </c>
      <c r="G441" s="510"/>
      <c r="H441" s="840"/>
      <c r="I441" s="510"/>
      <c r="J441" s="510"/>
      <c r="K441" s="511"/>
      <c r="L441" s="510"/>
      <c r="M441" s="580"/>
      <c r="N441" s="580"/>
      <c r="O441" s="580"/>
      <c r="P441" s="910"/>
      <c r="Q441" s="910"/>
      <c r="R441" s="910"/>
      <c r="S441" s="910"/>
      <c r="T441" s="910"/>
      <c r="U441" s="910"/>
      <c r="V441" s="910"/>
    </row>
    <row r="442" spans="1:22" x14ac:dyDescent="0.25">
      <c r="A442" s="772"/>
      <c r="B442" s="767" t="str">
        <f t="shared" si="12"/>
        <v xml:space="preserve"> </v>
      </c>
      <c r="C442" s="768" t="str">
        <f t="shared" si="13"/>
        <v xml:space="preserve"> </v>
      </c>
      <c r="D442" s="486"/>
      <c r="E442" s="308" cm="1">
        <f t="array" ref="E442">_xlfn.XLOOKUP(A442&amp;D442, $A$562:$J$562&amp;$A$563:$J$563, $A$564:$J$564, " ")</f>
        <v>0</v>
      </c>
      <c r="F442" s="872" cm="1">
        <f t="array" ref="F442">_xlfn.XLOOKUP(A442&amp;D442, $A$562:$J$562&amp;$A$563:$J$563, $A$565:$J$565, " ")</f>
        <v>0</v>
      </c>
      <c r="G442" s="510"/>
      <c r="H442" s="840"/>
      <c r="I442" s="510"/>
      <c r="J442" s="510"/>
      <c r="K442" s="511"/>
      <c r="L442" s="510"/>
      <c r="M442" s="580"/>
      <c r="N442" s="580"/>
      <c r="O442" s="580"/>
      <c r="P442" s="910"/>
      <c r="Q442" s="910"/>
      <c r="R442" s="910"/>
      <c r="S442" s="910"/>
      <c r="T442" s="910"/>
      <c r="U442" s="910"/>
      <c r="V442" s="910"/>
    </row>
    <row r="443" spans="1:22" x14ac:dyDescent="0.25">
      <c r="A443" s="772"/>
      <c r="B443" s="767" t="str">
        <f t="shared" si="12"/>
        <v xml:space="preserve"> </v>
      </c>
      <c r="C443" s="768" t="str">
        <f t="shared" si="13"/>
        <v xml:space="preserve"> </v>
      </c>
      <c r="D443" s="486"/>
      <c r="E443" s="308" cm="1">
        <f t="array" ref="E443">_xlfn.XLOOKUP(A443&amp;D443, $A$562:$J$562&amp;$A$563:$J$563, $A$564:$J$564, " ")</f>
        <v>0</v>
      </c>
      <c r="F443" s="872" cm="1">
        <f t="array" ref="F443">_xlfn.XLOOKUP(A443&amp;D443, $A$562:$J$562&amp;$A$563:$J$563, $A$565:$J$565, " ")</f>
        <v>0</v>
      </c>
      <c r="G443" s="510"/>
      <c r="H443" s="840"/>
      <c r="I443" s="510"/>
      <c r="J443" s="510"/>
      <c r="K443" s="511"/>
      <c r="L443" s="510"/>
      <c r="M443" s="580"/>
      <c r="N443" s="580"/>
      <c r="O443" s="580"/>
      <c r="P443" s="910"/>
      <c r="Q443" s="910"/>
      <c r="R443" s="910"/>
      <c r="S443" s="910"/>
      <c r="T443" s="910"/>
      <c r="U443" s="910"/>
      <c r="V443" s="910"/>
    </row>
    <row r="444" spans="1:22" x14ac:dyDescent="0.25">
      <c r="A444" s="772"/>
      <c r="B444" s="767" t="str">
        <f t="shared" si="12"/>
        <v xml:space="preserve"> </v>
      </c>
      <c r="C444" s="768" t="str">
        <f t="shared" si="13"/>
        <v xml:space="preserve"> </v>
      </c>
      <c r="D444" s="486"/>
      <c r="E444" s="308" cm="1">
        <f t="array" ref="E444">_xlfn.XLOOKUP(A444&amp;D444, $A$562:$J$562&amp;$A$563:$J$563, $A$564:$J$564, " ")</f>
        <v>0</v>
      </c>
      <c r="F444" s="872" cm="1">
        <f t="array" ref="F444">_xlfn.XLOOKUP(A444&amp;D444, $A$562:$J$562&amp;$A$563:$J$563, $A$565:$J$565, " ")</f>
        <v>0</v>
      </c>
      <c r="G444" s="510"/>
      <c r="H444" s="840"/>
      <c r="I444" s="510"/>
      <c r="J444" s="510"/>
      <c r="K444" s="511"/>
      <c r="L444" s="510"/>
      <c r="M444" s="580"/>
      <c r="N444" s="580"/>
      <c r="O444" s="580"/>
      <c r="P444" s="910"/>
      <c r="Q444" s="910"/>
      <c r="R444" s="910"/>
      <c r="S444" s="910"/>
      <c r="T444" s="910"/>
      <c r="U444" s="910"/>
      <c r="V444" s="910"/>
    </row>
    <row r="445" spans="1:22" x14ac:dyDescent="0.25">
      <c r="A445" s="772"/>
      <c r="B445" s="767" t="str">
        <f t="shared" si="12"/>
        <v xml:space="preserve"> </v>
      </c>
      <c r="C445" s="768" t="str">
        <f t="shared" si="13"/>
        <v xml:space="preserve"> </v>
      </c>
      <c r="D445" s="486"/>
      <c r="E445" s="308" cm="1">
        <f t="array" ref="E445">_xlfn.XLOOKUP(A445&amp;D445, $A$562:$J$562&amp;$A$563:$J$563, $A$564:$J$564, " ")</f>
        <v>0</v>
      </c>
      <c r="F445" s="872" cm="1">
        <f t="array" ref="F445">_xlfn.XLOOKUP(A445&amp;D445, $A$562:$J$562&amp;$A$563:$J$563, $A$565:$J$565, " ")</f>
        <v>0</v>
      </c>
      <c r="G445" s="510"/>
      <c r="H445" s="840"/>
      <c r="I445" s="510"/>
      <c r="J445" s="510"/>
      <c r="K445" s="511"/>
      <c r="L445" s="510"/>
      <c r="M445" s="580"/>
      <c r="N445" s="580"/>
      <c r="O445" s="580"/>
      <c r="P445" s="910"/>
      <c r="Q445" s="910"/>
      <c r="R445" s="910"/>
      <c r="S445" s="910"/>
      <c r="T445" s="910"/>
      <c r="U445" s="910"/>
      <c r="V445" s="910"/>
    </row>
    <row r="446" spans="1:22" x14ac:dyDescent="0.25">
      <c r="A446" s="772"/>
      <c r="B446" s="767" t="str">
        <f t="shared" si="12"/>
        <v xml:space="preserve"> </v>
      </c>
      <c r="C446" s="768" t="str">
        <f t="shared" si="13"/>
        <v xml:space="preserve"> </v>
      </c>
      <c r="D446" s="486"/>
      <c r="E446" s="308" cm="1">
        <f t="array" ref="E446">_xlfn.XLOOKUP(A446&amp;D446, $A$562:$J$562&amp;$A$563:$J$563, $A$564:$J$564, " ")</f>
        <v>0</v>
      </c>
      <c r="F446" s="872" cm="1">
        <f t="array" ref="F446">_xlfn.XLOOKUP(A446&amp;D446, $A$562:$J$562&amp;$A$563:$J$563, $A$565:$J$565, " ")</f>
        <v>0</v>
      </c>
      <c r="G446" s="510"/>
      <c r="H446" s="840"/>
      <c r="I446" s="510"/>
      <c r="J446" s="510"/>
      <c r="K446" s="511"/>
      <c r="L446" s="510"/>
      <c r="M446" s="580"/>
      <c r="N446" s="580"/>
      <c r="O446" s="580"/>
      <c r="P446" s="910"/>
      <c r="Q446" s="910"/>
      <c r="R446" s="910"/>
      <c r="S446" s="910"/>
      <c r="T446" s="910"/>
      <c r="U446" s="910"/>
      <c r="V446" s="910"/>
    </row>
    <row r="447" spans="1:22" x14ac:dyDescent="0.25">
      <c r="A447" s="772"/>
      <c r="B447" s="767" t="str">
        <f t="shared" si="12"/>
        <v xml:space="preserve"> </v>
      </c>
      <c r="C447" s="768" t="str">
        <f t="shared" si="13"/>
        <v xml:space="preserve"> </v>
      </c>
      <c r="D447" s="486"/>
      <c r="E447" s="308" cm="1">
        <f t="array" ref="E447">_xlfn.XLOOKUP(A447&amp;D447, $A$562:$J$562&amp;$A$563:$J$563, $A$564:$J$564, " ")</f>
        <v>0</v>
      </c>
      <c r="F447" s="872" cm="1">
        <f t="array" ref="F447">_xlfn.XLOOKUP(A447&amp;D447, $A$562:$J$562&amp;$A$563:$J$563, $A$565:$J$565, " ")</f>
        <v>0</v>
      </c>
      <c r="G447" s="510"/>
      <c r="H447" s="840"/>
      <c r="I447" s="510"/>
      <c r="J447" s="510"/>
      <c r="K447" s="511"/>
      <c r="L447" s="510"/>
      <c r="M447" s="580"/>
      <c r="N447" s="580"/>
      <c r="O447" s="580"/>
      <c r="P447" s="910"/>
      <c r="Q447" s="910"/>
      <c r="R447" s="910"/>
      <c r="S447" s="910"/>
      <c r="T447" s="910"/>
      <c r="U447" s="910"/>
      <c r="V447" s="910"/>
    </row>
    <row r="448" spans="1:22" x14ac:dyDescent="0.25">
      <c r="A448" s="772"/>
      <c r="B448" s="767" t="str">
        <f t="shared" si="12"/>
        <v xml:space="preserve"> </v>
      </c>
      <c r="C448" s="768" t="str">
        <f t="shared" si="13"/>
        <v xml:space="preserve"> </v>
      </c>
      <c r="D448" s="486"/>
      <c r="E448" s="308" cm="1">
        <f t="array" ref="E448">_xlfn.XLOOKUP(A448&amp;D448, $A$562:$J$562&amp;$A$563:$J$563, $A$564:$J$564, " ")</f>
        <v>0</v>
      </c>
      <c r="F448" s="872" cm="1">
        <f t="array" ref="F448">_xlfn.XLOOKUP(A448&amp;D448, $A$562:$J$562&amp;$A$563:$J$563, $A$565:$J$565, " ")</f>
        <v>0</v>
      </c>
      <c r="G448" s="510"/>
      <c r="H448" s="840"/>
      <c r="I448" s="510"/>
      <c r="J448" s="510"/>
      <c r="K448" s="511"/>
      <c r="L448" s="510"/>
      <c r="M448" s="580"/>
      <c r="N448" s="580"/>
      <c r="O448" s="580"/>
      <c r="P448" s="910"/>
      <c r="Q448" s="910"/>
      <c r="R448" s="910"/>
      <c r="S448" s="910"/>
      <c r="T448" s="910"/>
      <c r="U448" s="910"/>
      <c r="V448" s="910"/>
    </row>
    <row r="449" spans="1:22" x14ac:dyDescent="0.25">
      <c r="A449" s="772"/>
      <c r="B449" s="767" t="str">
        <f t="shared" si="12"/>
        <v xml:space="preserve"> </v>
      </c>
      <c r="C449" s="768" t="str">
        <f t="shared" si="13"/>
        <v xml:space="preserve"> </v>
      </c>
      <c r="D449" s="486"/>
      <c r="E449" s="308" cm="1">
        <f t="array" ref="E449">_xlfn.XLOOKUP(A449&amp;D449, $A$562:$J$562&amp;$A$563:$J$563, $A$564:$J$564, " ")</f>
        <v>0</v>
      </c>
      <c r="F449" s="872" cm="1">
        <f t="array" ref="F449">_xlfn.XLOOKUP(A449&amp;D449, $A$562:$J$562&amp;$A$563:$J$563, $A$565:$J$565, " ")</f>
        <v>0</v>
      </c>
      <c r="G449" s="510"/>
      <c r="H449" s="840"/>
      <c r="I449" s="510"/>
      <c r="J449" s="510"/>
      <c r="K449" s="511"/>
      <c r="L449" s="510"/>
      <c r="M449" s="580"/>
      <c r="N449" s="580"/>
      <c r="O449" s="580"/>
      <c r="P449" s="910"/>
      <c r="Q449" s="910"/>
      <c r="R449" s="910"/>
      <c r="S449" s="910"/>
      <c r="T449" s="910"/>
      <c r="U449" s="910"/>
      <c r="V449" s="910"/>
    </row>
    <row r="450" spans="1:22" x14ac:dyDescent="0.25">
      <c r="A450" s="772"/>
      <c r="B450" s="767" t="str">
        <f t="shared" si="12"/>
        <v xml:space="preserve"> </v>
      </c>
      <c r="C450" s="768" t="str">
        <f t="shared" si="13"/>
        <v xml:space="preserve"> </v>
      </c>
      <c r="D450" s="486"/>
      <c r="E450" s="308" cm="1">
        <f t="array" ref="E450">_xlfn.XLOOKUP(A450&amp;D450, $A$562:$J$562&amp;$A$563:$J$563, $A$564:$J$564, " ")</f>
        <v>0</v>
      </c>
      <c r="F450" s="872" cm="1">
        <f t="array" ref="F450">_xlfn.XLOOKUP(A450&amp;D450, $A$562:$J$562&amp;$A$563:$J$563, $A$565:$J$565, " ")</f>
        <v>0</v>
      </c>
      <c r="G450" s="510"/>
      <c r="H450" s="840"/>
      <c r="I450" s="510"/>
      <c r="J450" s="510"/>
      <c r="K450" s="511"/>
      <c r="L450" s="510"/>
      <c r="M450" s="580"/>
      <c r="N450" s="580"/>
      <c r="O450" s="580"/>
      <c r="P450" s="910"/>
      <c r="Q450" s="910"/>
      <c r="R450" s="910"/>
      <c r="S450" s="910"/>
      <c r="T450" s="910"/>
      <c r="U450" s="910"/>
      <c r="V450" s="910"/>
    </row>
    <row r="451" spans="1:22" x14ac:dyDescent="0.25">
      <c r="A451" s="772"/>
      <c r="B451" s="767" t="str">
        <f t="shared" si="12"/>
        <v xml:space="preserve"> </v>
      </c>
      <c r="C451" s="768" t="str">
        <f t="shared" si="13"/>
        <v xml:space="preserve"> </v>
      </c>
      <c r="D451" s="486"/>
      <c r="E451" s="308" cm="1">
        <f t="array" ref="E451">_xlfn.XLOOKUP(A451&amp;D451, $A$562:$J$562&amp;$A$563:$J$563, $A$564:$J$564, " ")</f>
        <v>0</v>
      </c>
      <c r="F451" s="872" cm="1">
        <f t="array" ref="F451">_xlfn.XLOOKUP(A451&amp;D451, $A$562:$J$562&amp;$A$563:$J$563, $A$565:$J$565, " ")</f>
        <v>0</v>
      </c>
      <c r="G451" s="510"/>
      <c r="H451" s="840"/>
      <c r="I451" s="510"/>
      <c r="J451" s="510"/>
      <c r="K451" s="511"/>
      <c r="L451" s="510"/>
      <c r="M451" s="580"/>
      <c r="N451" s="580"/>
      <c r="O451" s="580"/>
      <c r="P451" s="910"/>
      <c r="Q451" s="910"/>
      <c r="R451" s="910"/>
      <c r="S451" s="910"/>
      <c r="T451" s="910"/>
      <c r="U451" s="910"/>
      <c r="V451" s="910"/>
    </row>
    <row r="452" spans="1:22" x14ac:dyDescent="0.25">
      <c r="A452" s="772"/>
      <c r="B452" s="767" t="str">
        <f t="shared" si="12"/>
        <v xml:space="preserve"> </v>
      </c>
      <c r="C452" s="768" t="str">
        <f t="shared" si="13"/>
        <v xml:space="preserve"> </v>
      </c>
      <c r="D452" s="486"/>
      <c r="E452" s="308" cm="1">
        <f t="array" ref="E452">_xlfn.XLOOKUP(A452&amp;D452, $A$562:$J$562&amp;$A$563:$J$563, $A$564:$J$564, " ")</f>
        <v>0</v>
      </c>
      <c r="F452" s="872" cm="1">
        <f t="array" ref="F452">_xlfn.XLOOKUP(A452&amp;D452, $A$562:$J$562&amp;$A$563:$J$563, $A$565:$J$565, " ")</f>
        <v>0</v>
      </c>
      <c r="G452" s="510"/>
      <c r="H452" s="840"/>
      <c r="I452" s="510"/>
      <c r="J452" s="510"/>
      <c r="K452" s="511"/>
      <c r="L452" s="510"/>
      <c r="M452" s="580"/>
      <c r="N452" s="580"/>
      <c r="O452" s="580"/>
      <c r="P452" s="910"/>
      <c r="Q452" s="910"/>
      <c r="R452" s="910"/>
      <c r="S452" s="910"/>
      <c r="T452" s="910"/>
      <c r="U452" s="910"/>
      <c r="V452" s="910"/>
    </row>
    <row r="453" spans="1:22" x14ac:dyDescent="0.25">
      <c r="A453" s="772"/>
      <c r="B453" s="767" t="str">
        <f t="shared" si="12"/>
        <v xml:space="preserve"> </v>
      </c>
      <c r="C453" s="768" t="str">
        <f t="shared" si="13"/>
        <v xml:space="preserve"> </v>
      </c>
      <c r="D453" s="486"/>
      <c r="E453" s="308" cm="1">
        <f t="array" ref="E453">_xlfn.XLOOKUP(A453&amp;D453, $A$562:$J$562&amp;$A$563:$J$563, $A$564:$J$564, " ")</f>
        <v>0</v>
      </c>
      <c r="F453" s="872" cm="1">
        <f t="array" ref="F453">_xlfn.XLOOKUP(A453&amp;D453, $A$562:$J$562&amp;$A$563:$J$563, $A$565:$J$565, " ")</f>
        <v>0</v>
      </c>
      <c r="G453" s="510"/>
      <c r="H453" s="840"/>
      <c r="I453" s="510"/>
      <c r="J453" s="510"/>
      <c r="K453" s="511"/>
      <c r="L453" s="510"/>
      <c r="M453" s="580"/>
      <c r="N453" s="580"/>
      <c r="O453" s="580"/>
      <c r="P453" s="910"/>
      <c r="Q453" s="910"/>
      <c r="R453" s="910"/>
      <c r="S453" s="910"/>
      <c r="T453" s="910"/>
      <c r="U453" s="910"/>
      <c r="V453" s="910"/>
    </row>
    <row r="454" spans="1:22" x14ac:dyDescent="0.25">
      <c r="A454" s="772"/>
      <c r="B454" s="767" t="str">
        <f t="shared" si="12"/>
        <v xml:space="preserve"> </v>
      </c>
      <c r="C454" s="768" t="str">
        <f t="shared" si="13"/>
        <v xml:space="preserve"> </v>
      </c>
      <c r="D454" s="486"/>
      <c r="E454" s="308" cm="1">
        <f t="array" ref="E454">_xlfn.XLOOKUP(A454&amp;D454, $A$562:$J$562&amp;$A$563:$J$563, $A$564:$J$564, " ")</f>
        <v>0</v>
      </c>
      <c r="F454" s="872" cm="1">
        <f t="array" ref="F454">_xlfn.XLOOKUP(A454&amp;D454, $A$562:$J$562&amp;$A$563:$J$563, $A$565:$J$565, " ")</f>
        <v>0</v>
      </c>
      <c r="G454" s="510"/>
      <c r="H454" s="840"/>
      <c r="I454" s="510"/>
      <c r="J454" s="510"/>
      <c r="K454" s="511"/>
      <c r="L454" s="510"/>
      <c r="M454" s="580"/>
      <c r="N454" s="580"/>
      <c r="O454" s="580"/>
      <c r="P454" s="910"/>
      <c r="Q454" s="910"/>
      <c r="R454" s="910"/>
      <c r="S454" s="910"/>
      <c r="T454" s="910"/>
      <c r="U454" s="910"/>
      <c r="V454" s="910"/>
    </row>
    <row r="455" spans="1:22" x14ac:dyDescent="0.25">
      <c r="A455" s="772"/>
      <c r="B455" s="767" t="str">
        <f t="shared" si="12"/>
        <v xml:space="preserve"> </v>
      </c>
      <c r="C455" s="768" t="str">
        <f t="shared" si="13"/>
        <v xml:space="preserve"> </v>
      </c>
      <c r="D455" s="486"/>
      <c r="E455" s="308" cm="1">
        <f t="array" ref="E455">_xlfn.XLOOKUP(A455&amp;D455, $A$562:$J$562&amp;$A$563:$J$563, $A$564:$J$564, " ")</f>
        <v>0</v>
      </c>
      <c r="F455" s="872" cm="1">
        <f t="array" ref="F455">_xlfn.XLOOKUP(A455&amp;D455, $A$562:$J$562&amp;$A$563:$J$563, $A$565:$J$565, " ")</f>
        <v>0</v>
      </c>
      <c r="G455" s="510"/>
      <c r="H455" s="840"/>
      <c r="I455" s="510"/>
      <c r="J455" s="510"/>
      <c r="K455" s="511"/>
      <c r="L455" s="510"/>
      <c r="M455" s="580"/>
      <c r="N455" s="580"/>
      <c r="O455" s="580"/>
      <c r="P455" s="910"/>
      <c r="Q455" s="910"/>
      <c r="R455" s="910"/>
      <c r="S455" s="910"/>
      <c r="T455" s="910"/>
      <c r="U455" s="910"/>
      <c r="V455" s="910"/>
    </row>
    <row r="456" spans="1:22" x14ac:dyDescent="0.25">
      <c r="A456" s="772"/>
      <c r="B456" s="767" t="str">
        <f t="shared" si="12"/>
        <v xml:space="preserve"> </v>
      </c>
      <c r="C456" s="768" t="str">
        <f t="shared" si="13"/>
        <v xml:space="preserve"> </v>
      </c>
      <c r="D456" s="486"/>
      <c r="E456" s="308" cm="1">
        <f t="array" ref="E456">_xlfn.XLOOKUP(A456&amp;D456, $A$562:$J$562&amp;$A$563:$J$563, $A$564:$J$564, " ")</f>
        <v>0</v>
      </c>
      <c r="F456" s="872" cm="1">
        <f t="array" ref="F456">_xlfn.XLOOKUP(A456&amp;D456, $A$562:$J$562&amp;$A$563:$J$563, $A$565:$J$565, " ")</f>
        <v>0</v>
      </c>
      <c r="G456" s="510"/>
      <c r="H456" s="840"/>
      <c r="I456" s="510"/>
      <c r="J456" s="510"/>
      <c r="K456" s="511"/>
      <c r="L456" s="510"/>
      <c r="M456" s="580"/>
      <c r="N456" s="580"/>
      <c r="O456" s="580"/>
      <c r="P456" s="910"/>
      <c r="Q456" s="910"/>
      <c r="R456" s="910"/>
      <c r="S456" s="910"/>
      <c r="T456" s="910"/>
      <c r="U456" s="910"/>
      <c r="V456" s="910"/>
    </row>
    <row r="457" spans="1:22" x14ac:dyDescent="0.25">
      <c r="A457" s="772"/>
      <c r="B457" s="767" t="str">
        <f t="shared" si="12"/>
        <v xml:space="preserve"> </v>
      </c>
      <c r="C457" s="768" t="str">
        <f t="shared" si="13"/>
        <v xml:space="preserve"> </v>
      </c>
      <c r="D457" s="486"/>
      <c r="E457" s="308" cm="1">
        <f t="array" ref="E457">_xlfn.XLOOKUP(A457&amp;D457, $A$562:$J$562&amp;$A$563:$J$563, $A$564:$J$564, " ")</f>
        <v>0</v>
      </c>
      <c r="F457" s="872" cm="1">
        <f t="array" ref="F457">_xlfn.XLOOKUP(A457&amp;D457, $A$562:$J$562&amp;$A$563:$J$563, $A$565:$J$565, " ")</f>
        <v>0</v>
      </c>
      <c r="G457" s="510"/>
      <c r="H457" s="840"/>
      <c r="I457" s="510"/>
      <c r="J457" s="510"/>
      <c r="K457" s="511"/>
      <c r="L457" s="510"/>
      <c r="M457" s="580"/>
      <c r="N457" s="580"/>
      <c r="O457" s="580"/>
      <c r="P457" s="910"/>
      <c r="Q457" s="910"/>
      <c r="R457" s="910"/>
      <c r="S457" s="910"/>
      <c r="T457" s="910"/>
      <c r="U457" s="910"/>
      <c r="V457" s="910"/>
    </row>
    <row r="458" spans="1:22" x14ac:dyDescent="0.25">
      <c r="A458" s="772"/>
      <c r="B458" s="767" t="str">
        <f t="shared" si="12"/>
        <v xml:space="preserve"> </v>
      </c>
      <c r="C458" s="768" t="str">
        <f t="shared" si="13"/>
        <v xml:space="preserve"> </v>
      </c>
      <c r="D458" s="486"/>
      <c r="E458" s="308" cm="1">
        <f t="array" ref="E458">_xlfn.XLOOKUP(A458&amp;D458, $A$562:$J$562&amp;$A$563:$J$563, $A$564:$J$564, " ")</f>
        <v>0</v>
      </c>
      <c r="F458" s="872" cm="1">
        <f t="array" ref="F458">_xlfn.XLOOKUP(A458&amp;D458, $A$562:$J$562&amp;$A$563:$J$563, $A$565:$J$565, " ")</f>
        <v>0</v>
      </c>
      <c r="G458" s="510"/>
      <c r="H458" s="840"/>
      <c r="I458" s="510"/>
      <c r="J458" s="510"/>
      <c r="K458" s="511"/>
      <c r="L458" s="510"/>
      <c r="M458" s="580"/>
      <c r="N458" s="580"/>
      <c r="O458" s="580"/>
      <c r="P458" s="910"/>
      <c r="Q458" s="910"/>
      <c r="R458" s="910"/>
      <c r="S458" s="910"/>
      <c r="T458" s="910"/>
      <c r="U458" s="910"/>
      <c r="V458" s="910"/>
    </row>
    <row r="459" spans="1:22" x14ac:dyDescent="0.25">
      <c r="A459" s="772"/>
      <c r="B459" s="767" t="str">
        <f t="shared" ref="B459:B489" si="14">IF(ISBLANK(A459), " ", _xlfn.XLOOKUP(A459,$A$552:$C$552,$A$553:$C$553))</f>
        <v xml:space="preserve"> </v>
      </c>
      <c r="C459" s="768" t="str">
        <f t="shared" ref="C459:C510" si="15">IF(ISBLANK(A459), " ", _xlfn.XLOOKUP(A459,$A$552:$C$552,$A$554:$C$554))</f>
        <v xml:space="preserve"> </v>
      </c>
      <c r="D459" s="486"/>
      <c r="E459" s="308" cm="1">
        <f t="array" ref="E459">_xlfn.XLOOKUP(A459&amp;D459, $A$562:$J$562&amp;$A$563:$J$563, $A$564:$J$564, " ")</f>
        <v>0</v>
      </c>
      <c r="F459" s="872" cm="1">
        <f t="array" ref="F459">_xlfn.XLOOKUP(A459&amp;D459, $A$562:$J$562&amp;$A$563:$J$563, $A$565:$J$565, " ")</f>
        <v>0</v>
      </c>
      <c r="G459" s="510"/>
      <c r="H459" s="840"/>
      <c r="I459" s="510"/>
      <c r="J459" s="510"/>
      <c r="K459" s="511"/>
      <c r="L459" s="510"/>
      <c r="M459" s="580"/>
      <c r="N459" s="580"/>
      <c r="O459" s="580"/>
      <c r="P459" s="910"/>
      <c r="Q459" s="910"/>
      <c r="R459" s="910"/>
      <c r="S459" s="910"/>
      <c r="T459" s="910"/>
      <c r="U459" s="910"/>
      <c r="V459" s="910"/>
    </row>
    <row r="460" spans="1:22" x14ac:dyDescent="0.25">
      <c r="A460" s="772"/>
      <c r="B460" s="767" t="str">
        <f t="shared" si="14"/>
        <v xml:space="preserve"> </v>
      </c>
      <c r="C460" s="768" t="str">
        <f t="shared" si="15"/>
        <v xml:space="preserve"> </v>
      </c>
      <c r="D460" s="486"/>
      <c r="E460" s="308" cm="1">
        <f t="array" ref="E460">_xlfn.XLOOKUP(A460&amp;D460, $A$562:$J$562&amp;$A$563:$J$563, $A$564:$J$564, " ")</f>
        <v>0</v>
      </c>
      <c r="F460" s="872" cm="1">
        <f t="array" ref="F460">_xlfn.XLOOKUP(A460&amp;D460, $A$562:$J$562&amp;$A$563:$J$563, $A$565:$J$565, " ")</f>
        <v>0</v>
      </c>
      <c r="G460" s="510"/>
      <c r="H460" s="840"/>
      <c r="I460" s="510"/>
      <c r="J460" s="510"/>
      <c r="K460" s="511"/>
      <c r="L460" s="510"/>
      <c r="M460" s="580"/>
      <c r="N460" s="580"/>
      <c r="O460" s="580"/>
      <c r="P460" s="910"/>
      <c r="Q460" s="910"/>
      <c r="R460" s="910"/>
      <c r="S460" s="910"/>
      <c r="T460" s="910"/>
      <c r="U460" s="910"/>
      <c r="V460" s="910"/>
    </row>
    <row r="461" spans="1:22" x14ac:dyDescent="0.25">
      <c r="A461" s="772"/>
      <c r="B461" s="767" t="str">
        <f t="shared" si="14"/>
        <v xml:space="preserve"> </v>
      </c>
      <c r="C461" s="768" t="str">
        <f t="shared" si="15"/>
        <v xml:space="preserve"> </v>
      </c>
      <c r="D461" s="486"/>
      <c r="E461" s="308" cm="1">
        <f t="array" ref="E461">_xlfn.XLOOKUP(A461&amp;D461, $A$562:$J$562&amp;$A$563:$J$563, $A$564:$J$564, " ")</f>
        <v>0</v>
      </c>
      <c r="F461" s="872" cm="1">
        <f t="array" ref="F461">_xlfn.XLOOKUP(A461&amp;D461, $A$562:$J$562&amp;$A$563:$J$563, $A$565:$J$565, " ")</f>
        <v>0</v>
      </c>
      <c r="G461" s="510"/>
      <c r="H461" s="840"/>
      <c r="I461" s="510"/>
      <c r="J461" s="510"/>
      <c r="K461" s="511"/>
      <c r="L461" s="510"/>
      <c r="M461" s="580"/>
      <c r="N461" s="580"/>
      <c r="O461" s="580"/>
      <c r="P461" s="910"/>
      <c r="Q461" s="910"/>
      <c r="R461" s="910"/>
      <c r="S461" s="910"/>
      <c r="T461" s="910"/>
      <c r="U461" s="910"/>
      <c r="V461" s="910"/>
    </row>
    <row r="462" spans="1:22" x14ac:dyDescent="0.25">
      <c r="A462" s="772"/>
      <c r="B462" s="767" t="str">
        <f t="shared" si="14"/>
        <v xml:space="preserve"> </v>
      </c>
      <c r="C462" s="768" t="str">
        <f t="shared" si="15"/>
        <v xml:space="preserve"> </v>
      </c>
      <c r="D462" s="486"/>
      <c r="E462" s="308" cm="1">
        <f t="array" ref="E462">_xlfn.XLOOKUP(A462&amp;D462, $A$562:$J$562&amp;$A$563:$J$563, $A$564:$J$564, " ")</f>
        <v>0</v>
      </c>
      <c r="F462" s="872" cm="1">
        <f t="array" ref="F462">_xlfn.XLOOKUP(A462&amp;D462, $A$562:$J$562&amp;$A$563:$J$563, $A$565:$J$565, " ")</f>
        <v>0</v>
      </c>
      <c r="G462" s="510"/>
      <c r="H462" s="840"/>
      <c r="I462" s="510"/>
      <c r="J462" s="510"/>
      <c r="K462" s="511"/>
      <c r="L462" s="510"/>
      <c r="M462" s="580"/>
      <c r="N462" s="580"/>
      <c r="O462" s="580"/>
      <c r="P462" s="910"/>
      <c r="Q462" s="910"/>
      <c r="R462" s="910"/>
      <c r="S462" s="910"/>
      <c r="T462" s="910"/>
      <c r="U462" s="910"/>
      <c r="V462" s="910"/>
    </row>
    <row r="463" spans="1:22" x14ac:dyDescent="0.25">
      <c r="A463" s="772"/>
      <c r="B463" s="767" t="str">
        <f t="shared" si="14"/>
        <v xml:space="preserve"> </v>
      </c>
      <c r="C463" s="768" t="str">
        <f t="shared" si="15"/>
        <v xml:space="preserve"> </v>
      </c>
      <c r="D463" s="486"/>
      <c r="E463" s="308" cm="1">
        <f t="array" ref="E463">_xlfn.XLOOKUP(A463&amp;D463, $A$562:$J$562&amp;$A$563:$J$563, $A$564:$J$564, " ")</f>
        <v>0</v>
      </c>
      <c r="F463" s="872" cm="1">
        <f t="array" ref="F463">_xlfn.XLOOKUP(A463&amp;D463, $A$562:$J$562&amp;$A$563:$J$563, $A$565:$J$565, " ")</f>
        <v>0</v>
      </c>
      <c r="G463" s="510"/>
      <c r="H463" s="840"/>
      <c r="I463" s="510"/>
      <c r="J463" s="510"/>
      <c r="K463" s="511"/>
      <c r="L463" s="510"/>
      <c r="M463" s="580"/>
      <c r="N463" s="580"/>
      <c r="O463" s="580"/>
      <c r="P463" s="910"/>
      <c r="Q463" s="910"/>
      <c r="R463" s="910"/>
      <c r="S463" s="910"/>
      <c r="T463" s="910"/>
      <c r="U463" s="910"/>
      <c r="V463" s="910"/>
    </row>
    <row r="464" spans="1:22" x14ac:dyDescent="0.25">
      <c r="A464" s="772"/>
      <c r="B464" s="767" t="str">
        <f t="shared" si="14"/>
        <v xml:space="preserve"> </v>
      </c>
      <c r="C464" s="768" t="str">
        <f t="shared" si="15"/>
        <v xml:space="preserve"> </v>
      </c>
      <c r="D464" s="486"/>
      <c r="E464" s="308" cm="1">
        <f t="array" ref="E464">_xlfn.XLOOKUP(A464&amp;D464, $A$562:$J$562&amp;$A$563:$J$563, $A$564:$J$564, " ")</f>
        <v>0</v>
      </c>
      <c r="F464" s="872" cm="1">
        <f t="array" ref="F464">_xlfn.XLOOKUP(A464&amp;D464, $A$562:$J$562&amp;$A$563:$J$563, $A$565:$J$565, " ")</f>
        <v>0</v>
      </c>
      <c r="G464" s="510"/>
      <c r="H464" s="840"/>
      <c r="I464" s="510"/>
      <c r="J464" s="510"/>
      <c r="K464" s="511"/>
      <c r="L464" s="510"/>
      <c r="M464" s="580"/>
      <c r="N464" s="580"/>
      <c r="O464" s="580"/>
      <c r="P464" s="910"/>
      <c r="Q464" s="910"/>
      <c r="R464" s="910"/>
      <c r="S464" s="910"/>
      <c r="T464" s="910"/>
      <c r="U464" s="910"/>
      <c r="V464" s="910"/>
    </row>
    <row r="465" spans="1:22" x14ac:dyDescent="0.25">
      <c r="A465" s="772"/>
      <c r="B465" s="767" t="str">
        <f t="shared" si="14"/>
        <v xml:space="preserve"> </v>
      </c>
      <c r="C465" s="768" t="str">
        <f t="shared" si="15"/>
        <v xml:space="preserve"> </v>
      </c>
      <c r="D465" s="486"/>
      <c r="E465" s="308" cm="1">
        <f t="array" ref="E465">_xlfn.XLOOKUP(A465&amp;D465, $A$562:$J$562&amp;$A$563:$J$563, $A$564:$J$564, " ")</f>
        <v>0</v>
      </c>
      <c r="F465" s="872" cm="1">
        <f t="array" ref="F465">_xlfn.XLOOKUP(A465&amp;D465, $A$562:$J$562&amp;$A$563:$J$563, $A$565:$J$565, " ")</f>
        <v>0</v>
      </c>
      <c r="G465" s="510"/>
      <c r="H465" s="840"/>
      <c r="I465" s="510"/>
      <c r="J465" s="510"/>
      <c r="K465" s="511"/>
      <c r="L465" s="510"/>
      <c r="M465" s="580"/>
      <c r="N465" s="580"/>
      <c r="O465" s="580"/>
      <c r="P465" s="910"/>
      <c r="Q465" s="910"/>
      <c r="R465" s="910"/>
      <c r="S465" s="910"/>
      <c r="T465" s="910"/>
      <c r="U465" s="910"/>
      <c r="V465" s="910"/>
    </row>
    <row r="466" spans="1:22" x14ac:dyDescent="0.25">
      <c r="A466" s="772"/>
      <c r="B466" s="767" t="str">
        <f t="shared" si="14"/>
        <v xml:space="preserve"> </v>
      </c>
      <c r="C466" s="768" t="str">
        <f t="shared" si="15"/>
        <v xml:space="preserve"> </v>
      </c>
      <c r="D466" s="486"/>
      <c r="E466" s="308" cm="1">
        <f t="array" ref="E466">_xlfn.XLOOKUP(A466&amp;D466, $A$562:$J$562&amp;$A$563:$J$563, $A$564:$J$564, " ")</f>
        <v>0</v>
      </c>
      <c r="F466" s="872" cm="1">
        <f t="array" ref="F466">_xlfn.XLOOKUP(A466&amp;D466, $A$562:$J$562&amp;$A$563:$J$563, $A$565:$J$565, " ")</f>
        <v>0</v>
      </c>
      <c r="G466" s="510"/>
      <c r="H466" s="840"/>
      <c r="I466" s="510"/>
      <c r="J466" s="510"/>
      <c r="K466" s="511"/>
      <c r="L466" s="510"/>
      <c r="M466" s="580"/>
      <c r="N466" s="580"/>
      <c r="O466" s="580"/>
      <c r="P466" s="910"/>
      <c r="Q466" s="910"/>
      <c r="R466" s="910"/>
      <c r="S466" s="910"/>
      <c r="T466" s="910"/>
      <c r="U466" s="910"/>
      <c r="V466" s="910"/>
    </row>
    <row r="467" spans="1:22" x14ac:dyDescent="0.25">
      <c r="A467" s="772"/>
      <c r="B467" s="767" t="str">
        <f t="shared" si="14"/>
        <v xml:space="preserve"> </v>
      </c>
      <c r="C467" s="768" t="str">
        <f t="shared" si="15"/>
        <v xml:space="preserve"> </v>
      </c>
      <c r="D467" s="486"/>
      <c r="E467" s="308" cm="1">
        <f t="array" ref="E467">_xlfn.XLOOKUP(A467&amp;D467, $A$562:$J$562&amp;$A$563:$J$563, $A$564:$J$564, " ")</f>
        <v>0</v>
      </c>
      <c r="F467" s="872" cm="1">
        <f t="array" ref="F467">_xlfn.XLOOKUP(A467&amp;D467, $A$562:$J$562&amp;$A$563:$J$563, $A$565:$J$565, " ")</f>
        <v>0</v>
      </c>
      <c r="G467" s="510"/>
      <c r="H467" s="840"/>
      <c r="I467" s="510"/>
      <c r="J467" s="510"/>
      <c r="K467" s="511"/>
      <c r="L467" s="510"/>
      <c r="M467" s="580"/>
      <c r="N467" s="580"/>
      <c r="O467" s="580"/>
      <c r="P467" s="910"/>
      <c r="Q467" s="910"/>
      <c r="R467" s="910"/>
      <c r="S467" s="910"/>
      <c r="T467" s="910"/>
      <c r="U467" s="910"/>
      <c r="V467" s="910"/>
    </row>
    <row r="468" spans="1:22" x14ac:dyDescent="0.25">
      <c r="A468" s="772"/>
      <c r="B468" s="767" t="str">
        <f t="shared" si="14"/>
        <v xml:space="preserve"> </v>
      </c>
      <c r="C468" s="768" t="str">
        <f t="shared" si="15"/>
        <v xml:space="preserve"> </v>
      </c>
      <c r="D468" s="486"/>
      <c r="E468" s="308" cm="1">
        <f t="array" ref="E468">_xlfn.XLOOKUP(A468&amp;D468, $A$562:$J$562&amp;$A$563:$J$563, $A$564:$J$564, " ")</f>
        <v>0</v>
      </c>
      <c r="F468" s="872" cm="1">
        <f t="array" ref="F468">_xlfn.XLOOKUP(A468&amp;D468, $A$562:$J$562&amp;$A$563:$J$563, $A$565:$J$565, " ")</f>
        <v>0</v>
      </c>
      <c r="G468" s="510"/>
      <c r="H468" s="840"/>
      <c r="I468" s="510"/>
      <c r="J468" s="510"/>
      <c r="K468" s="511"/>
      <c r="L468" s="510"/>
      <c r="M468" s="580"/>
      <c r="N468" s="580"/>
      <c r="O468" s="580"/>
      <c r="P468" s="910"/>
      <c r="Q468" s="910"/>
      <c r="R468" s="910"/>
      <c r="S468" s="910"/>
      <c r="T468" s="910"/>
      <c r="U468" s="910"/>
      <c r="V468" s="910"/>
    </row>
    <row r="469" spans="1:22" x14ac:dyDescent="0.25">
      <c r="A469" s="772"/>
      <c r="B469" s="767" t="str">
        <f t="shared" si="14"/>
        <v xml:space="preserve"> </v>
      </c>
      <c r="C469" s="768" t="str">
        <f t="shared" si="15"/>
        <v xml:space="preserve"> </v>
      </c>
      <c r="D469" s="486"/>
      <c r="E469" s="308" cm="1">
        <f t="array" ref="E469">_xlfn.XLOOKUP(A469&amp;D469, $A$562:$J$562&amp;$A$563:$J$563, $A$564:$J$564, " ")</f>
        <v>0</v>
      </c>
      <c r="F469" s="872" cm="1">
        <f t="array" ref="F469">_xlfn.XLOOKUP(A469&amp;D469, $A$562:$J$562&amp;$A$563:$J$563, $A$565:$J$565, " ")</f>
        <v>0</v>
      </c>
      <c r="G469" s="510"/>
      <c r="H469" s="840"/>
      <c r="I469" s="510"/>
      <c r="J469" s="510"/>
      <c r="K469" s="511"/>
      <c r="L469" s="510"/>
      <c r="M469" s="580"/>
      <c r="N469" s="580"/>
      <c r="O469" s="580"/>
      <c r="P469" s="910"/>
      <c r="Q469" s="910"/>
      <c r="R469" s="910"/>
      <c r="S469" s="910"/>
      <c r="T469" s="910"/>
      <c r="U469" s="910"/>
      <c r="V469" s="910"/>
    </row>
    <row r="470" spans="1:22" x14ac:dyDescent="0.25">
      <c r="A470" s="772"/>
      <c r="B470" s="767" t="str">
        <f t="shared" si="14"/>
        <v xml:space="preserve"> </v>
      </c>
      <c r="C470" s="768" t="str">
        <f t="shared" si="15"/>
        <v xml:space="preserve"> </v>
      </c>
      <c r="D470" s="486"/>
      <c r="E470" s="308" cm="1">
        <f t="array" ref="E470">_xlfn.XLOOKUP(A470&amp;D470, $A$562:$J$562&amp;$A$563:$J$563, $A$564:$J$564, " ")</f>
        <v>0</v>
      </c>
      <c r="F470" s="872" cm="1">
        <f t="array" ref="F470">_xlfn.XLOOKUP(A470&amp;D470, $A$562:$J$562&amp;$A$563:$J$563, $A$565:$J$565, " ")</f>
        <v>0</v>
      </c>
      <c r="G470" s="510"/>
      <c r="H470" s="840"/>
      <c r="I470" s="510"/>
      <c r="J470" s="510"/>
      <c r="K470" s="511"/>
      <c r="L470" s="510"/>
      <c r="M470" s="580"/>
      <c r="N470" s="580"/>
      <c r="O470" s="580"/>
      <c r="P470" s="910"/>
      <c r="Q470" s="910"/>
      <c r="R470" s="910"/>
      <c r="S470" s="910"/>
      <c r="T470" s="910"/>
      <c r="U470" s="910"/>
      <c r="V470" s="910"/>
    </row>
    <row r="471" spans="1:22" x14ac:dyDescent="0.25">
      <c r="A471" s="772"/>
      <c r="B471" s="767" t="str">
        <f t="shared" si="14"/>
        <v xml:space="preserve"> </v>
      </c>
      <c r="C471" s="768" t="str">
        <f t="shared" si="15"/>
        <v xml:space="preserve"> </v>
      </c>
      <c r="D471" s="486"/>
      <c r="E471" s="308" cm="1">
        <f t="array" ref="E471">_xlfn.XLOOKUP(A471&amp;D471, $A$562:$J$562&amp;$A$563:$J$563, $A$564:$J$564, " ")</f>
        <v>0</v>
      </c>
      <c r="F471" s="872" cm="1">
        <f t="array" ref="F471">_xlfn.XLOOKUP(A471&amp;D471, $A$562:$J$562&amp;$A$563:$J$563, $A$565:$J$565, " ")</f>
        <v>0</v>
      </c>
      <c r="G471" s="510"/>
      <c r="H471" s="840"/>
      <c r="I471" s="510"/>
      <c r="J471" s="510"/>
      <c r="K471" s="511"/>
      <c r="L471" s="510"/>
      <c r="M471" s="580"/>
      <c r="N471" s="580"/>
      <c r="O471" s="580"/>
      <c r="P471" s="910"/>
      <c r="Q471" s="910"/>
      <c r="R471" s="910"/>
      <c r="S471" s="910"/>
      <c r="T471" s="910"/>
      <c r="U471" s="910"/>
      <c r="V471" s="910"/>
    </row>
    <row r="472" spans="1:22" x14ac:dyDescent="0.25">
      <c r="A472" s="772"/>
      <c r="B472" s="767" t="str">
        <f t="shared" si="14"/>
        <v xml:space="preserve"> </v>
      </c>
      <c r="C472" s="768" t="str">
        <f t="shared" si="15"/>
        <v xml:space="preserve"> </v>
      </c>
      <c r="D472" s="486"/>
      <c r="E472" s="308" cm="1">
        <f t="array" ref="E472">_xlfn.XLOOKUP(A472&amp;D472, $A$562:$J$562&amp;$A$563:$J$563, $A$564:$J$564, " ")</f>
        <v>0</v>
      </c>
      <c r="F472" s="872" cm="1">
        <f t="array" ref="F472">_xlfn.XLOOKUP(A472&amp;D472, $A$562:$J$562&amp;$A$563:$J$563, $A$565:$J$565, " ")</f>
        <v>0</v>
      </c>
      <c r="G472" s="510"/>
      <c r="H472" s="840"/>
      <c r="I472" s="510"/>
      <c r="J472" s="510"/>
      <c r="K472" s="511"/>
      <c r="L472" s="510"/>
      <c r="M472" s="580"/>
      <c r="N472" s="580"/>
      <c r="O472" s="580"/>
      <c r="P472" s="910"/>
      <c r="Q472" s="910"/>
      <c r="R472" s="910"/>
      <c r="S472" s="910"/>
      <c r="T472" s="910"/>
      <c r="U472" s="910"/>
      <c r="V472" s="910"/>
    </row>
    <row r="473" spans="1:22" x14ac:dyDescent="0.25">
      <c r="A473" s="772"/>
      <c r="B473" s="767" t="str">
        <f t="shared" si="14"/>
        <v xml:space="preserve"> </v>
      </c>
      <c r="C473" s="768" t="str">
        <f t="shared" si="15"/>
        <v xml:space="preserve"> </v>
      </c>
      <c r="D473" s="486"/>
      <c r="E473" s="308" cm="1">
        <f t="array" ref="E473">_xlfn.XLOOKUP(A473&amp;D473, $A$562:$J$562&amp;$A$563:$J$563, $A$564:$J$564, " ")</f>
        <v>0</v>
      </c>
      <c r="F473" s="872" cm="1">
        <f t="array" ref="F473">_xlfn.XLOOKUP(A473&amp;D473, $A$562:$J$562&amp;$A$563:$J$563, $A$565:$J$565, " ")</f>
        <v>0</v>
      </c>
      <c r="G473" s="510"/>
      <c r="H473" s="840"/>
      <c r="I473" s="510"/>
      <c r="J473" s="510"/>
      <c r="K473" s="511"/>
      <c r="L473" s="510"/>
      <c r="M473" s="580"/>
      <c r="N473" s="580"/>
      <c r="O473" s="580"/>
      <c r="P473" s="910"/>
      <c r="Q473" s="910"/>
      <c r="R473" s="910"/>
      <c r="S473" s="910"/>
      <c r="T473" s="910"/>
      <c r="U473" s="910"/>
      <c r="V473" s="910"/>
    </row>
    <row r="474" spans="1:22" x14ac:dyDescent="0.25">
      <c r="A474" s="772"/>
      <c r="B474" s="767" t="str">
        <f t="shared" si="14"/>
        <v xml:space="preserve"> </v>
      </c>
      <c r="C474" s="768" t="str">
        <f t="shared" si="15"/>
        <v xml:space="preserve"> </v>
      </c>
      <c r="D474" s="486"/>
      <c r="E474" s="308" cm="1">
        <f t="array" ref="E474">_xlfn.XLOOKUP(A474&amp;D474, $A$562:$J$562&amp;$A$563:$J$563, $A$564:$J$564, " ")</f>
        <v>0</v>
      </c>
      <c r="F474" s="872" cm="1">
        <f t="array" ref="F474">_xlfn.XLOOKUP(A474&amp;D474, $A$562:$J$562&amp;$A$563:$J$563, $A$565:$J$565, " ")</f>
        <v>0</v>
      </c>
      <c r="G474" s="510"/>
      <c r="H474" s="840"/>
      <c r="I474" s="510"/>
      <c r="J474" s="510"/>
      <c r="K474" s="511"/>
      <c r="L474" s="510"/>
      <c r="M474" s="580"/>
      <c r="N474" s="580"/>
      <c r="O474" s="580"/>
      <c r="P474" s="910"/>
      <c r="Q474" s="910"/>
      <c r="R474" s="910"/>
      <c r="S474" s="910"/>
      <c r="T474" s="910"/>
      <c r="U474" s="910"/>
      <c r="V474" s="910"/>
    </row>
    <row r="475" spans="1:22" x14ac:dyDescent="0.25">
      <c r="A475" s="772"/>
      <c r="B475" s="767" t="str">
        <f t="shared" si="14"/>
        <v xml:space="preserve"> </v>
      </c>
      <c r="C475" s="768" t="str">
        <f t="shared" si="15"/>
        <v xml:space="preserve"> </v>
      </c>
      <c r="D475" s="486"/>
      <c r="E475" s="308" cm="1">
        <f t="array" ref="E475">_xlfn.XLOOKUP(A475&amp;D475, $A$562:$J$562&amp;$A$563:$J$563, $A$564:$J$564, " ")</f>
        <v>0</v>
      </c>
      <c r="F475" s="872" cm="1">
        <f t="array" ref="F475">_xlfn.XLOOKUP(A475&amp;D475, $A$562:$J$562&amp;$A$563:$J$563, $A$565:$J$565, " ")</f>
        <v>0</v>
      </c>
      <c r="G475" s="510"/>
      <c r="H475" s="840"/>
      <c r="I475" s="510"/>
      <c r="J475" s="510"/>
      <c r="K475" s="511"/>
      <c r="L475" s="510"/>
      <c r="M475" s="580"/>
      <c r="N475" s="580"/>
      <c r="O475" s="580"/>
      <c r="P475" s="910"/>
      <c r="Q475" s="910"/>
      <c r="R475" s="910"/>
      <c r="S475" s="910"/>
      <c r="T475" s="910"/>
      <c r="U475" s="910"/>
      <c r="V475" s="910"/>
    </row>
    <row r="476" spans="1:22" x14ac:dyDescent="0.25">
      <c r="A476" s="772"/>
      <c r="B476" s="767" t="str">
        <f t="shared" si="14"/>
        <v xml:space="preserve"> </v>
      </c>
      <c r="C476" s="768" t="str">
        <f t="shared" si="15"/>
        <v xml:space="preserve"> </v>
      </c>
      <c r="D476" s="486"/>
      <c r="E476" s="308" cm="1">
        <f t="array" ref="E476">_xlfn.XLOOKUP(A476&amp;D476, $A$562:$J$562&amp;$A$563:$J$563, $A$564:$J$564, " ")</f>
        <v>0</v>
      </c>
      <c r="F476" s="872" cm="1">
        <f t="array" ref="F476">_xlfn.XLOOKUP(A476&amp;D476, $A$562:$J$562&amp;$A$563:$J$563, $A$565:$J$565, " ")</f>
        <v>0</v>
      </c>
      <c r="G476" s="510"/>
      <c r="H476" s="840"/>
      <c r="I476" s="510"/>
      <c r="J476" s="510"/>
      <c r="K476" s="511"/>
      <c r="L476" s="510"/>
      <c r="M476" s="580"/>
      <c r="N476" s="580"/>
      <c r="O476" s="580"/>
      <c r="P476" s="910"/>
      <c r="Q476" s="910"/>
      <c r="R476" s="910"/>
      <c r="S476" s="910"/>
      <c r="T476" s="910"/>
      <c r="U476" s="910"/>
      <c r="V476" s="910"/>
    </row>
    <row r="477" spans="1:22" x14ac:dyDescent="0.25">
      <c r="A477" s="772"/>
      <c r="B477" s="767" t="str">
        <f t="shared" si="14"/>
        <v xml:space="preserve"> </v>
      </c>
      <c r="C477" s="768" t="str">
        <f t="shared" si="15"/>
        <v xml:space="preserve"> </v>
      </c>
      <c r="D477" s="486"/>
      <c r="E477" s="308" cm="1">
        <f t="array" ref="E477">_xlfn.XLOOKUP(A477&amp;D477, $A$562:$J$562&amp;$A$563:$J$563, $A$564:$J$564, " ")</f>
        <v>0</v>
      </c>
      <c r="F477" s="872" cm="1">
        <f t="array" ref="F477">_xlfn.XLOOKUP(A477&amp;D477, $A$562:$J$562&amp;$A$563:$J$563, $A$565:$J$565, " ")</f>
        <v>0</v>
      </c>
      <c r="G477" s="510"/>
      <c r="H477" s="840"/>
      <c r="I477" s="510"/>
      <c r="J477" s="510"/>
      <c r="K477" s="511"/>
      <c r="L477" s="510"/>
      <c r="M477" s="580"/>
      <c r="N477" s="580"/>
      <c r="O477" s="580"/>
      <c r="P477" s="910"/>
      <c r="Q477" s="910"/>
      <c r="R477" s="910"/>
      <c r="S477" s="910"/>
      <c r="T477" s="910"/>
      <c r="U477" s="910"/>
      <c r="V477" s="910"/>
    </row>
    <row r="478" spans="1:22" x14ac:dyDescent="0.25">
      <c r="A478" s="772"/>
      <c r="B478" s="767" t="str">
        <f t="shared" si="14"/>
        <v xml:space="preserve"> </v>
      </c>
      <c r="C478" s="768" t="str">
        <f t="shared" si="15"/>
        <v xml:space="preserve"> </v>
      </c>
      <c r="D478" s="486"/>
      <c r="E478" s="308" cm="1">
        <f t="array" ref="E478">_xlfn.XLOOKUP(A478&amp;D478, $A$562:$J$562&amp;$A$563:$J$563, $A$564:$J$564, " ")</f>
        <v>0</v>
      </c>
      <c r="F478" s="872" cm="1">
        <f t="array" ref="F478">_xlfn.XLOOKUP(A478&amp;D478, $A$562:$J$562&amp;$A$563:$J$563, $A$565:$J$565, " ")</f>
        <v>0</v>
      </c>
      <c r="G478" s="510"/>
      <c r="H478" s="840"/>
      <c r="I478" s="510"/>
      <c r="J478" s="510"/>
      <c r="K478" s="511"/>
      <c r="L478" s="510"/>
      <c r="M478" s="580"/>
      <c r="N478" s="580"/>
      <c r="O478" s="580"/>
      <c r="P478" s="910"/>
      <c r="Q478" s="910"/>
      <c r="R478" s="910"/>
      <c r="S478" s="910"/>
      <c r="T478" s="910"/>
      <c r="U478" s="910"/>
      <c r="V478" s="910"/>
    </row>
    <row r="479" spans="1:22" x14ac:dyDescent="0.25">
      <c r="A479" s="772"/>
      <c r="B479" s="767" t="str">
        <f t="shared" si="14"/>
        <v xml:space="preserve"> </v>
      </c>
      <c r="C479" s="768" t="str">
        <f t="shared" si="15"/>
        <v xml:space="preserve"> </v>
      </c>
      <c r="D479" s="486"/>
      <c r="E479" s="308" cm="1">
        <f t="array" ref="E479">_xlfn.XLOOKUP(A479&amp;D479, $A$562:$J$562&amp;$A$563:$J$563, $A$564:$J$564, " ")</f>
        <v>0</v>
      </c>
      <c r="F479" s="872" cm="1">
        <f t="array" ref="F479">_xlfn.XLOOKUP(A479&amp;D479, $A$562:$J$562&amp;$A$563:$J$563, $A$565:$J$565, " ")</f>
        <v>0</v>
      </c>
      <c r="G479" s="510"/>
      <c r="H479" s="840"/>
      <c r="I479" s="510"/>
      <c r="J479" s="510"/>
      <c r="K479" s="511"/>
      <c r="L479" s="510"/>
      <c r="M479" s="580"/>
      <c r="N479" s="580"/>
      <c r="O479" s="580"/>
      <c r="P479" s="910"/>
      <c r="Q479" s="910"/>
      <c r="R479" s="910"/>
      <c r="S479" s="910"/>
      <c r="T479" s="910"/>
      <c r="U479" s="910"/>
      <c r="V479" s="910"/>
    </row>
    <row r="480" spans="1:22" x14ac:dyDescent="0.25">
      <c r="A480" s="772"/>
      <c r="B480" s="767" t="str">
        <f t="shared" si="14"/>
        <v xml:space="preserve"> </v>
      </c>
      <c r="C480" s="768" t="str">
        <f t="shared" si="15"/>
        <v xml:space="preserve"> </v>
      </c>
      <c r="D480" s="486"/>
      <c r="E480" s="308" cm="1">
        <f t="array" ref="E480">_xlfn.XLOOKUP(A480&amp;D480, $A$562:$J$562&amp;$A$563:$J$563, $A$564:$J$564, " ")</f>
        <v>0</v>
      </c>
      <c r="F480" s="872" cm="1">
        <f t="array" ref="F480">_xlfn.XLOOKUP(A480&amp;D480, $A$562:$J$562&amp;$A$563:$J$563, $A$565:$J$565, " ")</f>
        <v>0</v>
      </c>
      <c r="G480" s="510"/>
      <c r="H480" s="840"/>
      <c r="I480" s="510"/>
      <c r="J480" s="510"/>
      <c r="K480" s="511"/>
      <c r="L480" s="510"/>
      <c r="M480" s="580"/>
      <c r="N480" s="580"/>
      <c r="O480" s="580"/>
      <c r="P480" s="910"/>
      <c r="Q480" s="910"/>
      <c r="R480" s="910"/>
      <c r="S480" s="910"/>
      <c r="T480" s="910"/>
      <c r="U480" s="910"/>
      <c r="V480" s="910"/>
    </row>
    <row r="481" spans="1:22" x14ac:dyDescent="0.25">
      <c r="A481" s="772"/>
      <c r="B481" s="767" t="str">
        <f t="shared" si="14"/>
        <v xml:space="preserve"> </v>
      </c>
      <c r="C481" s="768" t="str">
        <f t="shared" si="15"/>
        <v xml:space="preserve"> </v>
      </c>
      <c r="D481" s="486"/>
      <c r="E481" s="308" cm="1">
        <f t="array" ref="E481">_xlfn.XLOOKUP(A481&amp;D481, $A$562:$J$562&amp;$A$563:$J$563, $A$564:$J$564, " ")</f>
        <v>0</v>
      </c>
      <c r="F481" s="872" cm="1">
        <f t="array" ref="F481">_xlfn.XLOOKUP(A481&amp;D481, $A$562:$J$562&amp;$A$563:$J$563, $A$565:$J$565, " ")</f>
        <v>0</v>
      </c>
      <c r="G481" s="510"/>
      <c r="H481" s="840"/>
      <c r="I481" s="510"/>
      <c r="J481" s="510"/>
      <c r="K481" s="511"/>
      <c r="L481" s="510"/>
      <c r="M481" s="580"/>
      <c r="N481" s="580"/>
      <c r="O481" s="580"/>
      <c r="P481" s="910"/>
      <c r="Q481" s="910"/>
      <c r="R481" s="910"/>
      <c r="S481" s="910"/>
      <c r="T481" s="910"/>
      <c r="U481" s="910"/>
      <c r="V481" s="910"/>
    </row>
    <row r="482" spans="1:22" x14ac:dyDescent="0.25">
      <c r="A482" s="772"/>
      <c r="B482" s="767" t="str">
        <f t="shared" si="14"/>
        <v xml:space="preserve"> </v>
      </c>
      <c r="C482" s="768" t="str">
        <f t="shared" si="15"/>
        <v xml:space="preserve"> </v>
      </c>
      <c r="D482" s="486"/>
      <c r="E482" s="308" cm="1">
        <f t="array" ref="E482">_xlfn.XLOOKUP(A482&amp;D482, $A$562:$J$562&amp;$A$563:$J$563, $A$564:$J$564, " ")</f>
        <v>0</v>
      </c>
      <c r="F482" s="872" cm="1">
        <f t="array" ref="F482">_xlfn.XLOOKUP(A482&amp;D482, $A$562:$J$562&amp;$A$563:$J$563, $A$565:$J$565, " ")</f>
        <v>0</v>
      </c>
      <c r="G482" s="510"/>
      <c r="H482" s="840"/>
      <c r="I482" s="510"/>
      <c r="J482" s="510"/>
      <c r="K482" s="511"/>
      <c r="L482" s="510"/>
      <c r="M482" s="580"/>
      <c r="N482" s="580"/>
      <c r="O482" s="580"/>
      <c r="P482" s="910"/>
      <c r="Q482" s="910"/>
      <c r="R482" s="910"/>
      <c r="S482" s="910"/>
      <c r="T482" s="910"/>
      <c r="U482" s="910"/>
      <c r="V482" s="910"/>
    </row>
    <row r="483" spans="1:22" x14ac:dyDescent="0.25">
      <c r="A483" s="772"/>
      <c r="B483" s="767" t="str">
        <f t="shared" si="14"/>
        <v xml:space="preserve"> </v>
      </c>
      <c r="C483" s="768" t="str">
        <f t="shared" si="15"/>
        <v xml:space="preserve"> </v>
      </c>
      <c r="D483" s="486"/>
      <c r="E483" s="308" cm="1">
        <f t="array" ref="E483">_xlfn.XLOOKUP(A483&amp;D483, $A$562:$J$562&amp;$A$563:$J$563, $A$564:$J$564, " ")</f>
        <v>0</v>
      </c>
      <c r="F483" s="872" cm="1">
        <f t="array" ref="F483">_xlfn.XLOOKUP(A483&amp;D483, $A$562:$J$562&amp;$A$563:$J$563, $A$565:$J$565, " ")</f>
        <v>0</v>
      </c>
      <c r="G483" s="510"/>
      <c r="H483" s="840"/>
      <c r="I483" s="510"/>
      <c r="J483" s="510"/>
      <c r="K483" s="511"/>
      <c r="L483" s="510"/>
      <c r="M483" s="580"/>
      <c r="N483" s="580"/>
      <c r="O483" s="580"/>
      <c r="P483" s="910"/>
      <c r="Q483" s="910"/>
      <c r="R483" s="910"/>
      <c r="S483" s="910"/>
      <c r="T483" s="910"/>
      <c r="U483" s="910"/>
      <c r="V483" s="910"/>
    </row>
    <row r="484" spans="1:22" x14ac:dyDescent="0.25">
      <c r="A484" s="772"/>
      <c r="B484" s="767" t="str">
        <f t="shared" si="14"/>
        <v xml:space="preserve"> </v>
      </c>
      <c r="C484" s="768" t="str">
        <f t="shared" si="15"/>
        <v xml:space="preserve"> </v>
      </c>
      <c r="D484" s="486"/>
      <c r="E484" s="308" cm="1">
        <f t="array" ref="E484">_xlfn.XLOOKUP(A484&amp;D484, $A$562:$J$562&amp;$A$563:$J$563, $A$564:$J$564, " ")</f>
        <v>0</v>
      </c>
      <c r="F484" s="872" cm="1">
        <f t="array" ref="F484">_xlfn.XLOOKUP(A484&amp;D484, $A$562:$J$562&amp;$A$563:$J$563, $A$565:$J$565, " ")</f>
        <v>0</v>
      </c>
      <c r="G484" s="510"/>
      <c r="H484" s="840"/>
      <c r="I484" s="510"/>
      <c r="J484" s="510"/>
      <c r="K484" s="511"/>
      <c r="L484" s="510"/>
      <c r="M484" s="580"/>
      <c r="N484" s="580"/>
      <c r="O484" s="580"/>
      <c r="P484" s="910"/>
      <c r="Q484" s="910"/>
      <c r="R484" s="910"/>
      <c r="S484" s="910"/>
      <c r="T484" s="910"/>
      <c r="U484" s="910"/>
      <c r="V484" s="910"/>
    </row>
    <row r="485" spans="1:22" x14ac:dyDescent="0.25">
      <c r="A485" s="772"/>
      <c r="B485" s="767" t="str">
        <f t="shared" si="14"/>
        <v xml:space="preserve"> </v>
      </c>
      <c r="C485" s="768" t="str">
        <f t="shared" si="15"/>
        <v xml:space="preserve"> </v>
      </c>
      <c r="D485" s="486"/>
      <c r="E485" s="308" cm="1">
        <f t="array" ref="E485">_xlfn.XLOOKUP(A485&amp;D485, $A$562:$J$562&amp;$A$563:$J$563, $A$564:$J$564, " ")</f>
        <v>0</v>
      </c>
      <c r="F485" s="872" cm="1">
        <f t="array" ref="F485">_xlfn.XLOOKUP(A485&amp;D485, $A$562:$J$562&amp;$A$563:$J$563, $A$565:$J$565, " ")</f>
        <v>0</v>
      </c>
      <c r="G485" s="510"/>
      <c r="H485" s="840"/>
      <c r="I485" s="510"/>
      <c r="J485" s="510"/>
      <c r="K485" s="511"/>
      <c r="L485" s="510"/>
      <c r="M485" s="580"/>
      <c r="N485" s="580"/>
      <c r="O485" s="580"/>
      <c r="P485" s="910"/>
      <c r="Q485" s="910"/>
      <c r="R485" s="910"/>
      <c r="S485" s="910"/>
      <c r="T485" s="910"/>
      <c r="U485" s="910"/>
      <c r="V485" s="910"/>
    </row>
    <row r="486" spans="1:22" x14ac:dyDescent="0.25">
      <c r="A486" s="772"/>
      <c r="B486" s="767" t="str">
        <f t="shared" si="14"/>
        <v xml:space="preserve"> </v>
      </c>
      <c r="C486" s="768" t="str">
        <f t="shared" si="15"/>
        <v xml:space="preserve"> </v>
      </c>
      <c r="D486" s="486"/>
      <c r="E486" s="308" cm="1">
        <f t="array" ref="E486">_xlfn.XLOOKUP(A486&amp;D486, $A$562:$J$562&amp;$A$563:$J$563, $A$564:$J$564, " ")</f>
        <v>0</v>
      </c>
      <c r="F486" s="872" cm="1">
        <f t="array" ref="F486">_xlfn.XLOOKUP(A486&amp;D486, $A$562:$J$562&amp;$A$563:$J$563, $A$565:$J$565, " ")</f>
        <v>0</v>
      </c>
      <c r="G486" s="510"/>
      <c r="H486" s="840"/>
      <c r="I486" s="510"/>
      <c r="J486" s="510"/>
      <c r="K486" s="511"/>
      <c r="L486" s="510"/>
      <c r="M486" s="580"/>
      <c r="N486" s="580"/>
      <c r="O486" s="580"/>
      <c r="P486" s="910"/>
      <c r="Q486" s="910"/>
      <c r="R486" s="910"/>
      <c r="S486" s="910"/>
      <c r="T486" s="910"/>
      <c r="U486" s="910"/>
      <c r="V486" s="910"/>
    </row>
    <row r="487" spans="1:22" x14ac:dyDescent="0.25">
      <c r="A487" s="772"/>
      <c r="B487" s="767" t="str">
        <f t="shared" si="14"/>
        <v xml:space="preserve"> </v>
      </c>
      <c r="C487" s="768" t="str">
        <f t="shared" si="15"/>
        <v xml:space="preserve"> </v>
      </c>
      <c r="D487" s="486"/>
      <c r="E487" s="308" cm="1">
        <f t="array" ref="E487">_xlfn.XLOOKUP(A487&amp;D487, $A$562:$J$562&amp;$A$563:$J$563, $A$564:$J$564, " ")</f>
        <v>0</v>
      </c>
      <c r="F487" s="872" cm="1">
        <f t="array" ref="F487">_xlfn.XLOOKUP(A487&amp;D487, $A$562:$J$562&amp;$A$563:$J$563, $A$565:$J$565, " ")</f>
        <v>0</v>
      </c>
      <c r="G487" s="510"/>
      <c r="H487" s="840"/>
      <c r="I487" s="510"/>
      <c r="J487" s="510"/>
      <c r="K487" s="511"/>
      <c r="L487" s="510"/>
      <c r="M487" s="580"/>
      <c r="N487" s="580"/>
      <c r="O487" s="580"/>
      <c r="P487" s="910"/>
      <c r="Q487" s="910"/>
      <c r="R487" s="910"/>
      <c r="S487" s="910"/>
      <c r="T487" s="910"/>
      <c r="U487" s="910"/>
      <c r="V487" s="910"/>
    </row>
    <row r="488" spans="1:22" x14ac:dyDescent="0.25">
      <c r="A488" s="772"/>
      <c r="B488" s="767" t="str">
        <f t="shared" si="14"/>
        <v xml:space="preserve"> </v>
      </c>
      <c r="C488" s="768" t="str">
        <f t="shared" si="15"/>
        <v xml:space="preserve"> </v>
      </c>
      <c r="D488" s="486"/>
      <c r="E488" s="308" cm="1">
        <f t="array" ref="E488">_xlfn.XLOOKUP(A488&amp;D488, $A$562:$J$562&amp;$A$563:$J$563, $A$564:$J$564, " ")</f>
        <v>0</v>
      </c>
      <c r="F488" s="872" cm="1">
        <f t="array" ref="F488">_xlfn.XLOOKUP(A488&amp;D488, $A$562:$J$562&amp;$A$563:$J$563, $A$565:$J$565, " ")</f>
        <v>0</v>
      </c>
      <c r="G488" s="510"/>
      <c r="H488" s="840"/>
      <c r="I488" s="510"/>
      <c r="J488" s="510"/>
      <c r="K488" s="511"/>
      <c r="L488" s="510"/>
      <c r="M488" s="580"/>
      <c r="N488" s="580"/>
      <c r="O488" s="580"/>
      <c r="P488" s="910"/>
      <c r="Q488" s="910"/>
      <c r="R488" s="910"/>
      <c r="S488" s="910"/>
      <c r="T488" s="910"/>
      <c r="U488" s="910"/>
      <c r="V488" s="910"/>
    </row>
    <row r="489" spans="1:22" x14ac:dyDescent="0.25">
      <c r="A489" s="772"/>
      <c r="B489" s="767" t="str">
        <f t="shared" si="14"/>
        <v xml:space="preserve"> </v>
      </c>
      <c r="C489" s="768" t="str">
        <f t="shared" si="15"/>
        <v xml:space="preserve"> </v>
      </c>
      <c r="D489" s="486"/>
      <c r="E489" s="308" cm="1">
        <f t="array" ref="E489">_xlfn.XLOOKUP(A489&amp;D489, $A$562:$J$562&amp;$A$563:$J$563, $A$564:$J$564, " ")</f>
        <v>0</v>
      </c>
      <c r="F489" s="872" cm="1">
        <f t="array" ref="F489">_xlfn.XLOOKUP(A489&amp;D489, $A$562:$J$562&amp;$A$563:$J$563, $A$565:$J$565, " ")</f>
        <v>0</v>
      </c>
      <c r="G489" s="510"/>
      <c r="H489" s="840"/>
      <c r="I489" s="510"/>
      <c r="J489" s="510"/>
      <c r="K489" s="511"/>
      <c r="L489" s="510"/>
      <c r="M489" s="580"/>
      <c r="N489" s="580"/>
      <c r="O489" s="580"/>
      <c r="P489" s="910"/>
      <c r="Q489" s="910"/>
      <c r="R489" s="910"/>
      <c r="S489" s="910"/>
      <c r="T489" s="910"/>
      <c r="U489" s="910"/>
      <c r="V489" s="910"/>
    </row>
    <row r="490" spans="1:22" x14ac:dyDescent="0.25">
      <c r="A490" s="772"/>
      <c r="B490" s="767" t="str">
        <f t="shared" ref="B490:B510" si="16">IF(ISBLANK(A490), " ", _xlfn.XLOOKUP(A490,$A$552:$C$552,$A$553:$C$553))</f>
        <v xml:space="preserve"> </v>
      </c>
      <c r="C490" s="768" t="str">
        <f t="shared" si="15"/>
        <v xml:space="preserve"> </v>
      </c>
      <c r="D490" s="486"/>
      <c r="E490" s="308" cm="1">
        <f t="array" ref="E490">_xlfn.XLOOKUP(A490&amp;D490, $A$562:$J$562&amp;$A$563:$J$563, $A$564:$J$564, " ")</f>
        <v>0</v>
      </c>
      <c r="F490" s="872" cm="1">
        <f t="array" ref="F490">_xlfn.XLOOKUP(A490&amp;D490, $A$562:$J$562&amp;$A$563:$J$563, $A$565:$J$565, " ")</f>
        <v>0</v>
      </c>
      <c r="G490" s="510"/>
      <c r="H490" s="840"/>
      <c r="I490" s="510"/>
      <c r="J490" s="510"/>
      <c r="K490" s="511"/>
      <c r="L490" s="510"/>
      <c r="M490" s="580"/>
      <c r="N490" s="580"/>
      <c r="O490" s="580"/>
      <c r="P490" s="910"/>
      <c r="Q490" s="910"/>
      <c r="R490" s="910"/>
      <c r="S490" s="910"/>
      <c r="T490" s="910"/>
      <c r="U490" s="910"/>
      <c r="V490" s="910"/>
    </row>
    <row r="491" spans="1:22" x14ac:dyDescent="0.25">
      <c r="A491" s="772"/>
      <c r="B491" s="767" t="str">
        <f t="shared" si="16"/>
        <v xml:space="preserve"> </v>
      </c>
      <c r="C491" s="768" t="str">
        <f t="shared" si="15"/>
        <v xml:space="preserve"> </v>
      </c>
      <c r="D491" s="486"/>
      <c r="E491" s="308" cm="1">
        <f t="array" ref="E491">_xlfn.XLOOKUP(A491&amp;D491, $A$562:$J$562&amp;$A$563:$J$563, $A$564:$J$564, " ")</f>
        <v>0</v>
      </c>
      <c r="F491" s="872" cm="1">
        <f t="array" ref="F491">_xlfn.XLOOKUP(A491&amp;D491, $A$562:$J$562&amp;$A$563:$J$563, $A$565:$J$565, " ")</f>
        <v>0</v>
      </c>
      <c r="G491" s="510"/>
      <c r="H491" s="840"/>
      <c r="I491" s="510"/>
      <c r="J491" s="510"/>
      <c r="K491" s="511"/>
      <c r="L491" s="510"/>
      <c r="M491" s="580"/>
      <c r="N491" s="580"/>
      <c r="O491" s="580"/>
      <c r="P491" s="910"/>
      <c r="Q491" s="910"/>
      <c r="R491" s="910"/>
      <c r="S491" s="910"/>
      <c r="T491" s="910"/>
      <c r="U491" s="910"/>
      <c r="V491" s="910"/>
    </row>
    <row r="492" spans="1:22" x14ac:dyDescent="0.25">
      <c r="A492" s="772"/>
      <c r="B492" s="767" t="str">
        <f t="shared" si="16"/>
        <v xml:space="preserve"> </v>
      </c>
      <c r="C492" s="768" t="str">
        <f t="shared" si="15"/>
        <v xml:space="preserve"> </v>
      </c>
      <c r="D492" s="486"/>
      <c r="E492" s="308" cm="1">
        <f t="array" ref="E492">_xlfn.XLOOKUP(A492&amp;D492, $A$562:$J$562&amp;$A$563:$J$563, $A$564:$J$564, " ")</f>
        <v>0</v>
      </c>
      <c r="F492" s="872" cm="1">
        <f t="array" ref="F492">_xlfn.XLOOKUP(A492&amp;D492, $A$562:$J$562&amp;$A$563:$J$563, $A$565:$J$565, " ")</f>
        <v>0</v>
      </c>
      <c r="G492" s="510"/>
      <c r="H492" s="840"/>
      <c r="I492" s="510"/>
      <c r="J492" s="510"/>
      <c r="K492" s="511"/>
      <c r="L492" s="510"/>
      <c r="M492" s="580"/>
      <c r="N492" s="580"/>
      <c r="O492" s="580"/>
      <c r="P492" s="910"/>
      <c r="Q492" s="910"/>
      <c r="R492" s="910"/>
      <c r="S492" s="910"/>
      <c r="T492" s="910"/>
      <c r="U492" s="910"/>
      <c r="V492" s="910"/>
    </row>
    <row r="493" spans="1:22" x14ac:dyDescent="0.25">
      <c r="A493" s="772"/>
      <c r="B493" s="767" t="str">
        <f t="shared" si="16"/>
        <v xml:space="preserve"> </v>
      </c>
      <c r="C493" s="768" t="str">
        <f t="shared" si="15"/>
        <v xml:space="preserve"> </v>
      </c>
      <c r="D493" s="486"/>
      <c r="E493" s="308" cm="1">
        <f t="array" ref="E493">_xlfn.XLOOKUP(A493&amp;D493, $A$562:$J$562&amp;$A$563:$J$563, $A$564:$J$564, " ")</f>
        <v>0</v>
      </c>
      <c r="F493" s="872" cm="1">
        <f t="array" ref="F493">_xlfn.XLOOKUP(A493&amp;D493, $A$562:$J$562&amp;$A$563:$J$563, $A$565:$J$565, " ")</f>
        <v>0</v>
      </c>
      <c r="G493" s="510"/>
      <c r="H493" s="840"/>
      <c r="I493" s="510"/>
      <c r="J493" s="510"/>
      <c r="K493" s="511"/>
      <c r="L493" s="510"/>
      <c r="M493" s="580"/>
      <c r="N493" s="580"/>
      <c r="O493" s="580"/>
      <c r="P493" s="910"/>
      <c r="Q493" s="910"/>
      <c r="R493" s="910"/>
      <c r="S493" s="910"/>
      <c r="T493" s="910"/>
      <c r="U493" s="910"/>
      <c r="V493" s="910"/>
    </row>
    <row r="494" spans="1:22" x14ac:dyDescent="0.25">
      <c r="A494" s="772"/>
      <c r="B494" s="767" t="str">
        <f t="shared" si="16"/>
        <v xml:space="preserve"> </v>
      </c>
      <c r="C494" s="768" t="str">
        <f t="shared" si="15"/>
        <v xml:space="preserve"> </v>
      </c>
      <c r="D494" s="486"/>
      <c r="E494" s="308" cm="1">
        <f t="array" ref="E494">_xlfn.XLOOKUP(A494&amp;D494, $A$562:$J$562&amp;$A$563:$J$563, $A$564:$J$564, " ")</f>
        <v>0</v>
      </c>
      <c r="F494" s="872" cm="1">
        <f t="array" ref="F494">_xlfn.XLOOKUP(A494&amp;D494, $A$562:$J$562&amp;$A$563:$J$563, $A$565:$J$565, " ")</f>
        <v>0</v>
      </c>
      <c r="G494" s="510"/>
      <c r="H494" s="840"/>
      <c r="I494" s="510"/>
      <c r="J494" s="510"/>
      <c r="K494" s="511"/>
      <c r="L494" s="510"/>
      <c r="M494" s="580"/>
      <c r="N494" s="580"/>
      <c r="O494" s="580"/>
      <c r="P494" s="910"/>
      <c r="Q494" s="910"/>
      <c r="R494" s="910"/>
      <c r="S494" s="910"/>
      <c r="T494" s="910"/>
      <c r="U494" s="910"/>
      <c r="V494" s="910"/>
    </row>
    <row r="495" spans="1:22" x14ac:dyDescent="0.25">
      <c r="A495" s="772"/>
      <c r="B495" s="767" t="str">
        <f t="shared" si="16"/>
        <v xml:space="preserve"> </v>
      </c>
      <c r="C495" s="768" t="str">
        <f t="shared" si="15"/>
        <v xml:space="preserve"> </v>
      </c>
      <c r="D495" s="486"/>
      <c r="E495" s="308" cm="1">
        <f t="array" ref="E495">_xlfn.XLOOKUP(A495&amp;D495, $A$562:$J$562&amp;$A$563:$J$563, $A$564:$J$564, " ")</f>
        <v>0</v>
      </c>
      <c r="F495" s="872" cm="1">
        <f t="array" ref="F495">_xlfn.XLOOKUP(A495&amp;D495, $A$562:$J$562&amp;$A$563:$J$563, $A$565:$J$565, " ")</f>
        <v>0</v>
      </c>
      <c r="G495" s="510"/>
      <c r="H495" s="840"/>
      <c r="I495" s="510"/>
      <c r="J495" s="510"/>
      <c r="K495" s="511"/>
      <c r="L495" s="510"/>
      <c r="M495" s="580"/>
      <c r="N495" s="580"/>
      <c r="O495" s="580"/>
      <c r="P495" s="910"/>
      <c r="Q495" s="910"/>
      <c r="R495" s="910"/>
      <c r="S495" s="910"/>
      <c r="T495" s="910"/>
      <c r="U495" s="910"/>
      <c r="V495" s="910"/>
    </row>
    <row r="496" spans="1:22" x14ac:dyDescent="0.25">
      <c r="A496" s="772"/>
      <c r="B496" s="767" t="str">
        <f t="shared" si="16"/>
        <v xml:space="preserve"> </v>
      </c>
      <c r="C496" s="768" t="str">
        <f t="shared" si="15"/>
        <v xml:space="preserve"> </v>
      </c>
      <c r="D496" s="486"/>
      <c r="E496" s="308" cm="1">
        <f t="array" ref="E496">_xlfn.XLOOKUP(A496&amp;D496, $A$562:$J$562&amp;$A$563:$J$563, $A$564:$J$564, " ")</f>
        <v>0</v>
      </c>
      <c r="F496" s="872" cm="1">
        <f t="array" ref="F496">_xlfn.XLOOKUP(A496&amp;D496, $A$562:$J$562&amp;$A$563:$J$563, $A$565:$J$565, " ")</f>
        <v>0</v>
      </c>
      <c r="G496" s="510"/>
      <c r="H496" s="840"/>
      <c r="I496" s="510"/>
      <c r="J496" s="510"/>
      <c r="K496" s="511"/>
      <c r="L496" s="510"/>
      <c r="M496" s="580"/>
      <c r="N496" s="580"/>
      <c r="O496" s="580"/>
      <c r="P496" s="910"/>
      <c r="Q496" s="910"/>
      <c r="R496" s="910"/>
      <c r="S496" s="910"/>
      <c r="T496" s="910"/>
      <c r="U496" s="910"/>
      <c r="V496" s="910"/>
    </row>
    <row r="497" spans="1:22" x14ac:dyDescent="0.25">
      <c r="A497" s="772"/>
      <c r="B497" s="767" t="str">
        <f t="shared" si="16"/>
        <v xml:space="preserve"> </v>
      </c>
      <c r="C497" s="768" t="str">
        <f t="shared" si="15"/>
        <v xml:space="preserve"> </v>
      </c>
      <c r="D497" s="486"/>
      <c r="E497" s="308" cm="1">
        <f t="array" ref="E497">_xlfn.XLOOKUP(A497&amp;D497, $A$562:$J$562&amp;$A$563:$J$563, $A$564:$J$564, " ")</f>
        <v>0</v>
      </c>
      <c r="F497" s="872" cm="1">
        <f t="array" ref="F497">_xlfn.XLOOKUP(A497&amp;D497, $A$562:$J$562&amp;$A$563:$J$563, $A$565:$J$565, " ")</f>
        <v>0</v>
      </c>
      <c r="G497" s="510"/>
      <c r="H497" s="840"/>
      <c r="I497" s="510"/>
      <c r="J497" s="510"/>
      <c r="K497" s="511"/>
      <c r="L497" s="510"/>
      <c r="M497" s="580"/>
      <c r="N497" s="580"/>
      <c r="O497" s="580"/>
      <c r="P497" s="910"/>
      <c r="Q497" s="910"/>
      <c r="R497" s="910"/>
      <c r="S497" s="910"/>
      <c r="T497" s="910"/>
      <c r="U497" s="910"/>
      <c r="V497" s="910"/>
    </row>
    <row r="498" spans="1:22" x14ac:dyDescent="0.25">
      <c r="A498" s="772"/>
      <c r="B498" s="767" t="str">
        <f t="shared" si="16"/>
        <v xml:space="preserve"> </v>
      </c>
      <c r="C498" s="768" t="str">
        <f t="shared" si="15"/>
        <v xml:space="preserve"> </v>
      </c>
      <c r="D498" s="486"/>
      <c r="E498" s="308" cm="1">
        <f t="array" ref="E498">_xlfn.XLOOKUP(A498&amp;D498, $A$562:$J$562&amp;$A$563:$J$563, $A$564:$J$564, " ")</f>
        <v>0</v>
      </c>
      <c r="F498" s="872" cm="1">
        <f t="array" ref="F498">_xlfn.XLOOKUP(A498&amp;D498, $A$562:$J$562&amp;$A$563:$J$563, $A$565:$J$565, " ")</f>
        <v>0</v>
      </c>
      <c r="G498" s="510"/>
      <c r="H498" s="840"/>
      <c r="I498" s="510"/>
      <c r="J498" s="510"/>
      <c r="K498" s="511"/>
      <c r="L498" s="510"/>
      <c r="M498" s="580"/>
      <c r="N498" s="580"/>
      <c r="O498" s="580"/>
      <c r="P498" s="910"/>
      <c r="Q498" s="910"/>
      <c r="R498" s="910"/>
      <c r="S498" s="910"/>
      <c r="T498" s="910"/>
      <c r="U498" s="910"/>
      <c r="V498" s="910"/>
    </row>
    <row r="499" spans="1:22" x14ac:dyDescent="0.25">
      <c r="A499" s="772"/>
      <c r="B499" s="767" t="str">
        <f t="shared" si="16"/>
        <v xml:space="preserve"> </v>
      </c>
      <c r="C499" s="768" t="str">
        <f t="shared" si="15"/>
        <v xml:space="preserve"> </v>
      </c>
      <c r="D499" s="486"/>
      <c r="E499" s="308" cm="1">
        <f t="array" ref="E499">_xlfn.XLOOKUP(A499&amp;D499, $A$562:$J$562&amp;$A$563:$J$563, $A$564:$J$564, " ")</f>
        <v>0</v>
      </c>
      <c r="F499" s="872" cm="1">
        <f t="array" ref="F499">_xlfn.XLOOKUP(A499&amp;D499, $A$562:$J$562&amp;$A$563:$J$563, $A$565:$J$565, " ")</f>
        <v>0</v>
      </c>
      <c r="G499" s="510"/>
      <c r="H499" s="840"/>
      <c r="I499" s="510"/>
      <c r="J499" s="510"/>
      <c r="K499" s="511"/>
      <c r="L499" s="510"/>
      <c r="M499" s="580"/>
      <c r="N499" s="580"/>
      <c r="O499" s="580"/>
      <c r="P499" s="910"/>
      <c r="Q499" s="910"/>
      <c r="R499" s="910"/>
      <c r="S499" s="910"/>
      <c r="T499" s="910"/>
      <c r="U499" s="910"/>
      <c r="V499" s="910"/>
    </row>
    <row r="500" spans="1:22" x14ac:dyDescent="0.25">
      <c r="A500" s="772"/>
      <c r="B500" s="767" t="str">
        <f t="shared" si="16"/>
        <v xml:space="preserve"> </v>
      </c>
      <c r="C500" s="768" t="str">
        <f t="shared" si="15"/>
        <v xml:space="preserve"> </v>
      </c>
      <c r="D500" s="486"/>
      <c r="E500" s="308" cm="1">
        <f t="array" ref="E500">_xlfn.XLOOKUP(A500&amp;D500, $A$562:$J$562&amp;$A$563:$J$563, $A$564:$J$564, " ")</f>
        <v>0</v>
      </c>
      <c r="F500" s="872" cm="1">
        <f t="array" ref="F500">_xlfn.XLOOKUP(A500&amp;D500, $A$562:$J$562&amp;$A$563:$J$563, $A$565:$J$565, " ")</f>
        <v>0</v>
      </c>
      <c r="G500" s="510"/>
      <c r="H500" s="840"/>
      <c r="I500" s="510"/>
      <c r="J500" s="510"/>
      <c r="K500" s="511"/>
      <c r="L500" s="510"/>
      <c r="M500" s="580"/>
      <c r="N500" s="580"/>
      <c r="O500" s="580"/>
      <c r="P500" s="910"/>
      <c r="Q500" s="910"/>
      <c r="R500" s="910"/>
      <c r="S500" s="910"/>
      <c r="T500" s="910"/>
      <c r="U500" s="910"/>
      <c r="V500" s="910"/>
    </row>
    <row r="501" spans="1:22" x14ac:dyDescent="0.25">
      <c r="A501" s="772"/>
      <c r="B501" s="767" t="str">
        <f t="shared" si="16"/>
        <v xml:space="preserve"> </v>
      </c>
      <c r="C501" s="768" t="str">
        <f t="shared" si="15"/>
        <v xml:space="preserve"> </v>
      </c>
      <c r="D501" s="486"/>
      <c r="E501" s="308" cm="1">
        <f t="array" ref="E501">_xlfn.XLOOKUP(A501&amp;D501, $A$562:$J$562&amp;$A$563:$J$563, $A$564:$J$564, " ")</f>
        <v>0</v>
      </c>
      <c r="F501" s="872" cm="1">
        <f t="array" ref="F501">_xlfn.XLOOKUP(A501&amp;D501, $A$562:$J$562&amp;$A$563:$J$563, $A$565:$J$565, " ")</f>
        <v>0</v>
      </c>
      <c r="G501" s="510"/>
      <c r="H501" s="840"/>
      <c r="I501" s="510"/>
      <c r="J501" s="510"/>
      <c r="K501" s="511"/>
      <c r="L501" s="510"/>
      <c r="M501" s="580"/>
      <c r="N501" s="580"/>
      <c r="O501" s="580"/>
      <c r="P501" s="910"/>
      <c r="Q501" s="910"/>
      <c r="R501" s="910"/>
      <c r="S501" s="910"/>
      <c r="T501" s="910"/>
      <c r="U501" s="910"/>
      <c r="V501" s="910"/>
    </row>
    <row r="502" spans="1:22" x14ac:dyDescent="0.25">
      <c r="A502" s="772"/>
      <c r="B502" s="767" t="str">
        <f t="shared" si="16"/>
        <v xml:space="preserve"> </v>
      </c>
      <c r="C502" s="768" t="str">
        <f t="shared" si="15"/>
        <v xml:space="preserve"> </v>
      </c>
      <c r="D502" s="486"/>
      <c r="E502" s="308" cm="1">
        <f t="array" ref="E502">_xlfn.XLOOKUP(A502&amp;D502, $A$562:$J$562&amp;$A$563:$J$563, $A$564:$J$564, " ")</f>
        <v>0</v>
      </c>
      <c r="F502" s="872" cm="1">
        <f t="array" ref="F502">_xlfn.XLOOKUP(A502&amp;D502, $A$562:$J$562&amp;$A$563:$J$563, $A$565:$J$565, " ")</f>
        <v>0</v>
      </c>
      <c r="G502" s="510"/>
      <c r="H502" s="840"/>
      <c r="I502" s="510"/>
      <c r="J502" s="510"/>
      <c r="K502" s="511"/>
      <c r="L502" s="510"/>
      <c r="M502" s="580"/>
      <c r="N502" s="580"/>
      <c r="O502" s="580"/>
      <c r="P502" s="910"/>
      <c r="Q502" s="910"/>
      <c r="R502" s="910"/>
      <c r="S502" s="910"/>
      <c r="T502" s="910"/>
      <c r="U502" s="910"/>
      <c r="V502" s="910"/>
    </row>
    <row r="503" spans="1:22" x14ac:dyDescent="0.25">
      <c r="A503" s="772"/>
      <c r="B503" s="767" t="str">
        <f t="shared" si="16"/>
        <v xml:space="preserve"> </v>
      </c>
      <c r="C503" s="768" t="str">
        <f t="shared" si="15"/>
        <v xml:space="preserve"> </v>
      </c>
      <c r="D503" s="486"/>
      <c r="E503" s="308" cm="1">
        <f t="array" ref="E503">_xlfn.XLOOKUP(A503&amp;D503, $A$562:$J$562&amp;$A$563:$J$563, $A$564:$J$564, " ")</f>
        <v>0</v>
      </c>
      <c r="F503" s="872" cm="1">
        <f t="array" ref="F503">_xlfn.XLOOKUP(A503&amp;D503, $A$562:$J$562&amp;$A$563:$J$563, $A$565:$J$565, " ")</f>
        <v>0</v>
      </c>
      <c r="G503" s="510"/>
      <c r="H503" s="840"/>
      <c r="I503" s="510"/>
      <c r="J503" s="510"/>
      <c r="K503" s="511"/>
      <c r="L503" s="510"/>
      <c r="M503" s="580"/>
      <c r="N503" s="580"/>
      <c r="O503" s="580"/>
      <c r="P503" s="910"/>
      <c r="Q503" s="910"/>
      <c r="R503" s="910"/>
      <c r="S503" s="910"/>
      <c r="T503" s="910"/>
      <c r="U503" s="910"/>
      <c r="V503" s="910"/>
    </row>
    <row r="504" spans="1:22" x14ac:dyDescent="0.25">
      <c r="A504" s="772"/>
      <c r="B504" s="767" t="str">
        <f t="shared" si="16"/>
        <v xml:space="preserve"> </v>
      </c>
      <c r="C504" s="768" t="str">
        <f t="shared" si="15"/>
        <v xml:space="preserve"> </v>
      </c>
      <c r="D504" s="486"/>
      <c r="E504" s="308" cm="1">
        <f t="array" ref="E504">_xlfn.XLOOKUP(A504&amp;D504, $A$562:$J$562&amp;$A$563:$J$563, $A$564:$J$564, " ")</f>
        <v>0</v>
      </c>
      <c r="F504" s="872" cm="1">
        <f t="array" ref="F504">_xlfn.XLOOKUP(A504&amp;D504, $A$562:$J$562&amp;$A$563:$J$563, $A$565:$J$565, " ")</f>
        <v>0</v>
      </c>
      <c r="G504" s="510"/>
      <c r="H504" s="840"/>
      <c r="I504" s="510"/>
      <c r="J504" s="510"/>
      <c r="K504" s="511"/>
      <c r="L504" s="510"/>
      <c r="M504" s="580"/>
      <c r="N504" s="580"/>
      <c r="O504" s="580"/>
      <c r="P504" s="910"/>
      <c r="Q504" s="910"/>
      <c r="R504" s="910"/>
      <c r="S504" s="910"/>
      <c r="T504" s="910"/>
      <c r="U504" s="910"/>
      <c r="V504" s="910"/>
    </row>
    <row r="505" spans="1:22" x14ac:dyDescent="0.25">
      <c r="A505" s="772"/>
      <c r="B505" s="767" t="str">
        <f t="shared" si="16"/>
        <v xml:space="preserve"> </v>
      </c>
      <c r="C505" s="768" t="str">
        <f t="shared" si="15"/>
        <v xml:space="preserve"> </v>
      </c>
      <c r="D505" s="486"/>
      <c r="E505" s="308" cm="1">
        <f t="array" ref="E505">_xlfn.XLOOKUP(A505&amp;D505, $A$562:$J$562&amp;$A$563:$J$563, $A$564:$J$564, " ")</f>
        <v>0</v>
      </c>
      <c r="F505" s="872" cm="1">
        <f t="array" ref="F505">_xlfn.XLOOKUP(A505&amp;D505, $A$562:$J$562&amp;$A$563:$J$563, $A$565:$J$565, " ")</f>
        <v>0</v>
      </c>
      <c r="G505" s="510"/>
      <c r="H505" s="840"/>
      <c r="I505" s="510"/>
      <c r="J505" s="510"/>
      <c r="K505" s="511"/>
      <c r="L505" s="510"/>
      <c r="M505" s="580"/>
      <c r="N505" s="580"/>
      <c r="O505" s="580"/>
      <c r="P505" s="910"/>
      <c r="Q505" s="910"/>
      <c r="R505" s="910"/>
      <c r="S505" s="910"/>
      <c r="T505" s="910"/>
      <c r="U505" s="910"/>
      <c r="V505" s="910"/>
    </row>
    <row r="506" spans="1:22" x14ac:dyDescent="0.25">
      <c r="A506" s="772"/>
      <c r="B506" s="767" t="str">
        <f t="shared" si="16"/>
        <v xml:space="preserve"> </v>
      </c>
      <c r="C506" s="768" t="str">
        <f t="shared" si="15"/>
        <v xml:space="preserve"> </v>
      </c>
      <c r="D506" s="486"/>
      <c r="E506" s="308" cm="1">
        <f t="array" ref="E506">_xlfn.XLOOKUP(A506&amp;D506, $A$562:$J$562&amp;$A$563:$J$563, $A$564:$J$564, " ")</f>
        <v>0</v>
      </c>
      <c r="F506" s="872" cm="1">
        <f t="array" ref="F506">_xlfn.XLOOKUP(A506&amp;D506, $A$562:$J$562&amp;$A$563:$J$563, $A$565:$J$565, " ")</f>
        <v>0</v>
      </c>
      <c r="G506" s="510"/>
      <c r="H506" s="840"/>
      <c r="I506" s="510"/>
      <c r="J506" s="510"/>
      <c r="K506" s="511"/>
      <c r="L506" s="510"/>
      <c r="M506" s="580"/>
      <c r="N506" s="580"/>
      <c r="O506" s="580"/>
      <c r="P506" s="910"/>
      <c r="Q506" s="910"/>
      <c r="R506" s="910"/>
      <c r="S506" s="910"/>
      <c r="T506" s="910"/>
      <c r="U506" s="910"/>
      <c r="V506" s="910"/>
    </row>
    <row r="507" spans="1:22" x14ac:dyDescent="0.25">
      <c r="A507" s="772"/>
      <c r="B507" s="767" t="str">
        <f t="shared" si="16"/>
        <v xml:space="preserve"> </v>
      </c>
      <c r="C507" s="768" t="str">
        <f t="shared" si="15"/>
        <v xml:space="preserve"> </v>
      </c>
      <c r="D507" s="486"/>
      <c r="E507" s="308" cm="1">
        <f t="array" ref="E507">_xlfn.XLOOKUP(A507&amp;D507, $A$562:$J$562&amp;$A$563:$J$563, $A$564:$J$564, " ")</f>
        <v>0</v>
      </c>
      <c r="F507" s="872" cm="1">
        <f t="array" ref="F507">_xlfn.XLOOKUP(A507&amp;D507, $A$562:$J$562&amp;$A$563:$J$563, $A$565:$J$565, " ")</f>
        <v>0</v>
      </c>
      <c r="G507" s="510"/>
      <c r="H507" s="840"/>
      <c r="I507" s="510"/>
      <c r="J507" s="510"/>
      <c r="K507" s="511"/>
      <c r="L507" s="510"/>
      <c r="M507" s="580"/>
      <c r="N507" s="580"/>
      <c r="O507" s="580"/>
      <c r="P507" s="910"/>
      <c r="Q507" s="910"/>
      <c r="R507" s="910"/>
      <c r="S507" s="910"/>
      <c r="T507" s="910"/>
      <c r="U507" s="910"/>
      <c r="V507" s="910"/>
    </row>
    <row r="508" spans="1:22" x14ac:dyDescent="0.25">
      <c r="A508" s="772"/>
      <c r="B508" s="767" t="str">
        <f t="shared" si="16"/>
        <v xml:space="preserve"> </v>
      </c>
      <c r="C508" s="768" t="str">
        <f t="shared" si="15"/>
        <v xml:space="preserve"> </v>
      </c>
      <c r="D508" s="486"/>
      <c r="E508" s="308" cm="1">
        <f t="array" ref="E508">_xlfn.XLOOKUP(A508&amp;D508, $A$562:$J$562&amp;$A$563:$J$563, $A$564:$J$564, " ")</f>
        <v>0</v>
      </c>
      <c r="F508" s="872" cm="1">
        <f t="array" ref="F508">_xlfn.XLOOKUP(A508&amp;D508, $A$562:$J$562&amp;$A$563:$J$563, $A$565:$J$565, " ")</f>
        <v>0</v>
      </c>
      <c r="G508" s="510"/>
      <c r="H508" s="840"/>
      <c r="I508" s="510"/>
      <c r="J508" s="510"/>
      <c r="K508" s="511"/>
      <c r="L508" s="510"/>
      <c r="M508" s="580"/>
      <c r="N508" s="580"/>
      <c r="O508" s="580"/>
      <c r="P508" s="910"/>
      <c r="Q508" s="910"/>
      <c r="R508" s="910"/>
      <c r="S508" s="910"/>
      <c r="T508" s="910"/>
      <c r="U508" s="910"/>
      <c r="V508" s="910"/>
    </row>
    <row r="509" spans="1:22" x14ac:dyDescent="0.25">
      <c r="A509" s="772"/>
      <c r="B509" s="767" t="str">
        <f t="shared" si="16"/>
        <v xml:space="preserve"> </v>
      </c>
      <c r="C509" s="768" t="str">
        <f t="shared" si="15"/>
        <v xml:space="preserve"> </v>
      </c>
      <c r="D509" s="486"/>
      <c r="E509" s="308" cm="1">
        <f t="array" ref="E509">_xlfn.XLOOKUP(A509&amp;D509, $A$562:$J$562&amp;$A$563:$J$563, $A$564:$J$564, " ")</f>
        <v>0</v>
      </c>
      <c r="F509" s="872" cm="1">
        <f t="array" ref="F509">_xlfn.XLOOKUP(A509&amp;D509, $A$562:$J$562&amp;$A$563:$J$563, $A$565:$J$565, " ")</f>
        <v>0</v>
      </c>
      <c r="G509" s="510"/>
      <c r="H509" s="840"/>
      <c r="I509" s="510"/>
      <c r="J509" s="510"/>
      <c r="K509" s="511"/>
      <c r="L509" s="510"/>
      <c r="M509" s="580"/>
      <c r="N509" s="580"/>
      <c r="O509" s="580"/>
      <c r="P509" s="910"/>
      <c r="Q509" s="910"/>
      <c r="R509" s="910"/>
      <c r="S509" s="910"/>
      <c r="T509" s="910"/>
      <c r="U509" s="910"/>
      <c r="V509" s="910"/>
    </row>
    <row r="510" spans="1:22" x14ac:dyDescent="0.25">
      <c r="A510" s="772"/>
      <c r="B510" s="767" t="str">
        <f t="shared" si="16"/>
        <v xml:space="preserve"> </v>
      </c>
      <c r="C510" s="768" t="str">
        <f t="shared" si="15"/>
        <v xml:space="preserve"> </v>
      </c>
      <c r="D510" s="486"/>
      <c r="E510" s="308" cm="1">
        <f t="array" ref="E510">_xlfn.XLOOKUP(A510&amp;D510, $A$562:$J$562&amp;$A$563:$J$563, $A$564:$J$564, " ")</f>
        <v>0</v>
      </c>
      <c r="F510" s="872" cm="1">
        <f t="array" ref="F510">_xlfn.XLOOKUP(A510&amp;D510, $A$562:$J$562&amp;$A$563:$J$563, $A$565:$J$565, " ")</f>
        <v>0</v>
      </c>
      <c r="G510" s="510"/>
      <c r="H510" s="840"/>
      <c r="I510" s="510"/>
      <c r="J510" s="510"/>
      <c r="K510" s="511"/>
      <c r="L510" s="510"/>
      <c r="M510" s="580"/>
      <c r="N510" s="580"/>
      <c r="O510" s="580"/>
      <c r="P510" s="910"/>
      <c r="Q510" s="910"/>
      <c r="R510" s="910"/>
      <c r="S510" s="910"/>
      <c r="T510" s="910"/>
      <c r="U510" s="910"/>
      <c r="V510" s="910"/>
    </row>
    <row r="511" spans="1:22" x14ac:dyDescent="0.25">
      <c r="B511" s="306"/>
      <c r="D511" s="305"/>
    </row>
    <row r="512" spans="1:22" ht="21" x14ac:dyDescent="0.35">
      <c r="A512" s="1056" t="s">
        <v>117</v>
      </c>
      <c r="B512" s="1056"/>
      <c r="C512" s="1055" t="s">
        <v>118</v>
      </c>
      <c r="D512" s="1055"/>
      <c r="E512" s="1055"/>
    </row>
    <row r="513" spans="1:9" ht="15.75" thickBot="1" x14ac:dyDescent="0.3"/>
    <row r="514" spans="1:9" ht="15.75" thickBot="1" x14ac:dyDescent="0.3">
      <c r="A514" s="659" t="s">
        <v>19</v>
      </c>
      <c r="B514" s="659" t="s">
        <v>119</v>
      </c>
      <c r="C514" s="204" t="s">
        <v>120</v>
      </c>
      <c r="D514" s="660" t="s">
        <v>121</v>
      </c>
      <c r="E514" s="659" t="s">
        <v>122</v>
      </c>
      <c r="F514" s="204" t="s">
        <v>123</v>
      </c>
      <c r="G514" s="660" t="s">
        <v>35</v>
      </c>
      <c r="H514" s="901" t="s">
        <v>34</v>
      </c>
    </row>
    <row r="515" spans="1:9" ht="30" x14ac:dyDescent="0.25">
      <c r="A515" s="1079">
        <f>'Respondent Information'!D6</f>
        <v>0</v>
      </c>
      <c r="B515" s="77" t="s">
        <v>1173</v>
      </c>
      <c r="C515" s="78">
        <f>SUMIFS(O11:O510,A11:A510, A515, D11:D510, K553)</f>
        <v>0</v>
      </c>
      <c r="D515" s="78">
        <f>SUMIFS(O11:O510,A11:A510, A515, D11:D510, K554)</f>
        <v>0</v>
      </c>
      <c r="E515" s="78">
        <f>SUMIFS(O11:O510,A11:A510, A515, D11:D510, K555)</f>
        <v>0</v>
      </c>
      <c r="F515" s="1057">
        <f>AVERAGE(C517:E517)</f>
        <v>0</v>
      </c>
      <c r="G515" s="1063">
        <v>20</v>
      </c>
      <c r="H515" s="1060">
        <f>IF(F515&gt;=0.2, 20, IF(F515&gt;=0.1, 10, IF(F515&gt;=0.05, 5, IF(F515&gt;=0.01, 1, 0))))</f>
        <v>0</v>
      </c>
      <c r="I515" s="20"/>
    </row>
    <row r="516" spans="1:9" ht="45" x14ac:dyDescent="0.25">
      <c r="A516" s="1080"/>
      <c r="B516" s="77" t="s">
        <v>124</v>
      </c>
      <c r="C516" s="78">
        <f>A564</f>
        <v>0</v>
      </c>
      <c r="D516" s="78">
        <f>B564</f>
        <v>0</v>
      </c>
      <c r="E516" s="78">
        <f>C564</f>
        <v>0</v>
      </c>
      <c r="F516" s="1058"/>
      <c r="G516" s="1064"/>
      <c r="H516" s="1061"/>
      <c r="I516" s="20"/>
    </row>
    <row r="517" spans="1:9" ht="30" x14ac:dyDescent="0.25">
      <c r="A517" s="1080"/>
      <c r="B517" s="77" t="s">
        <v>1184</v>
      </c>
      <c r="C517" s="79">
        <f>IF(ISERROR(C515/C516),0, IF((C515/C516&gt;1), "ERROR", C515/C516))</f>
        <v>0</v>
      </c>
      <c r="D517" s="79">
        <f>IF(ISERROR(D515/D516),0, IF((D515/D516&gt;1), "ERROR", D515/D516))</f>
        <v>0</v>
      </c>
      <c r="E517" s="79">
        <f>IF(ISERROR(E515/E516),0, IF((E515/E516&gt;1), "ERROR", E515/E516))</f>
        <v>0</v>
      </c>
      <c r="F517" s="1059"/>
      <c r="G517" s="1065"/>
      <c r="H517" s="1062"/>
      <c r="I517" s="20"/>
    </row>
    <row r="518" spans="1:9" ht="45" x14ac:dyDescent="0.25">
      <c r="A518" s="1080"/>
      <c r="B518" s="77" t="s">
        <v>1260</v>
      </c>
      <c r="C518" s="314">
        <f>SUMIFS(T11:T510,A11:A510, A515, D11:D510, K553)</f>
        <v>0</v>
      </c>
      <c r="D518" s="314">
        <f>SUMIFS(T11:T510,A11:A510, A515, D11:D510, K554)</f>
        <v>0</v>
      </c>
      <c r="E518" s="314">
        <f>SUMIFS(T11:T510,A11:A510, A515, D11:D510, K555)</f>
        <v>0</v>
      </c>
      <c r="F518" s="1057">
        <f>AVERAGE(C520:E520)</f>
        <v>0</v>
      </c>
      <c r="G518" s="1063">
        <v>20</v>
      </c>
      <c r="H518" s="1060">
        <f>IF(F518&gt;=0.2, 20, IF(F518&gt;=0.1, 10, IF(F518&gt;=0.05, 5, IF(F518&gt;=0.01, 1, 0))))</f>
        <v>0</v>
      </c>
      <c r="I518" s="20"/>
    </row>
    <row r="519" spans="1:9" ht="30" x14ac:dyDescent="0.25">
      <c r="A519" s="1080"/>
      <c r="B519" s="77" t="s">
        <v>125</v>
      </c>
      <c r="C519" s="314">
        <f>A565</f>
        <v>0</v>
      </c>
      <c r="D519" s="314">
        <f>B565</f>
        <v>0</v>
      </c>
      <c r="E519" s="314">
        <f>C565</f>
        <v>0</v>
      </c>
      <c r="F519" s="1058"/>
      <c r="G519" s="1064"/>
      <c r="H519" s="1061"/>
      <c r="I519" s="20"/>
    </row>
    <row r="520" spans="1:9" ht="30" x14ac:dyDescent="0.25">
      <c r="A520" s="1080"/>
      <c r="B520" s="77" t="s">
        <v>1183</v>
      </c>
      <c r="C520" s="79">
        <f>IF(ISERROR(C518/C519),0, IF((C518/C519&gt;1), "ERROR", C518/C519))</f>
        <v>0</v>
      </c>
      <c r="D520" s="79">
        <f>IF(ISERROR(D518/D519),0, IF((D518/D519&gt;1), "ERROR", D518/D519))</f>
        <v>0</v>
      </c>
      <c r="E520" s="79">
        <f>IF(ISERROR(E518/E519),0, IF((E518/E519&gt;1), "ERROR", E518/E519))</f>
        <v>0</v>
      </c>
      <c r="F520" s="1059"/>
      <c r="G520" s="1065"/>
      <c r="H520" s="1062"/>
      <c r="I520" s="20"/>
    </row>
    <row r="521" spans="1:9" x14ac:dyDescent="0.25">
      <c r="A521" s="1080"/>
      <c r="B521" s="1066" t="s">
        <v>126</v>
      </c>
      <c r="C521" s="1067"/>
      <c r="D521" s="1067"/>
      <c r="E521" s="1067"/>
      <c r="F521" s="1067"/>
      <c r="G521" s="1068"/>
      <c r="H521" s="902">
        <f>SUM(H515:H519)</f>
        <v>0</v>
      </c>
    </row>
    <row r="522" spans="1:9" ht="15.75" thickBot="1" x14ac:dyDescent="0.3">
      <c r="A522" s="1080"/>
      <c r="B522" s="1066" t="s">
        <v>127</v>
      </c>
      <c r="C522" s="1067"/>
      <c r="D522" s="1067"/>
      <c r="E522" s="1067"/>
      <c r="F522" s="1067"/>
      <c r="G522" s="1068"/>
      <c r="H522" s="903">
        <f>IF('Respondent Information'!C6="Florida", H521*1, H521*0.9)</f>
        <v>0</v>
      </c>
    </row>
    <row r="523" spans="1:9" ht="30" x14ac:dyDescent="0.25">
      <c r="A523" s="1079">
        <f>'Respondent Information'!D9</f>
        <v>0</v>
      </c>
      <c r="B523" s="735" t="s">
        <v>1173</v>
      </c>
      <c r="C523" s="736">
        <f>SUMIFS(O11:O510,A11:A510, A523, D11:D510, L553)</f>
        <v>0</v>
      </c>
      <c r="D523" s="736">
        <f>SUMIFS(O11:O510,A11:A510, A523, D11:D510, L554)</f>
        <v>0</v>
      </c>
      <c r="E523" s="736">
        <f>SUMIFS(O11:O510,A11:A510, A523, D11:D510, L555)</f>
        <v>0</v>
      </c>
      <c r="F523" s="1075">
        <f>AVERAGE(C525:E525)</f>
        <v>0</v>
      </c>
      <c r="G523" s="1082">
        <v>20</v>
      </c>
      <c r="H523" s="1076">
        <f>IF(F523&gt;=0.2, 20, IF(F523&gt;=0.1, 10, IF(F523&gt;=0.05, 5, IF(F523&gt;=0.01, 1, 0))))</f>
        <v>0</v>
      </c>
      <c r="I523" s="20"/>
    </row>
    <row r="524" spans="1:9" ht="45" x14ac:dyDescent="0.25">
      <c r="A524" s="1080"/>
      <c r="B524" s="77" t="s">
        <v>124</v>
      </c>
      <c r="C524" s="78">
        <f>D564</f>
        <v>0</v>
      </c>
      <c r="D524" s="78">
        <f>E564</f>
        <v>0</v>
      </c>
      <c r="E524" s="78">
        <f>F564</f>
        <v>0</v>
      </c>
      <c r="F524" s="1058"/>
      <c r="G524" s="1064"/>
      <c r="H524" s="1061"/>
      <c r="I524" s="20"/>
    </row>
    <row r="525" spans="1:9" ht="30" x14ac:dyDescent="0.25">
      <c r="A525" s="1080"/>
      <c r="B525" s="77" t="s">
        <v>1184</v>
      </c>
      <c r="C525" s="79">
        <f>IF(ISERROR(C523/C524),0, IF((C523/C524&gt;1), "ERROR", C523/C524))</f>
        <v>0</v>
      </c>
      <c r="D525" s="79">
        <f>IF(ISERROR(D523/D524),0, IF((D523/D524&gt;1), "ERROR", D523/D524))</f>
        <v>0</v>
      </c>
      <c r="E525" s="79">
        <f>IF(ISERROR(E523/E524),0, IF((E523/E524&gt;1), "ERROR", E523/E524))</f>
        <v>0</v>
      </c>
      <c r="F525" s="1059"/>
      <c r="G525" s="1065"/>
      <c r="H525" s="1062"/>
      <c r="I525" s="20"/>
    </row>
    <row r="526" spans="1:9" ht="45" x14ac:dyDescent="0.25">
      <c r="A526" s="1080"/>
      <c r="B526" s="77" t="s">
        <v>1260</v>
      </c>
      <c r="C526" s="314">
        <f>SUMIFS(T11:T510,A11:A510, A523, D11:D510, L553)</f>
        <v>0</v>
      </c>
      <c r="D526" s="314">
        <f>SUMIFS(T11:T510,A11:A510, A523, D11:D510, L554)</f>
        <v>0</v>
      </c>
      <c r="E526" s="314">
        <f>SUMIFS(T11:T510,A11:A510, A523, D11:D510, L555)</f>
        <v>0</v>
      </c>
      <c r="F526" s="1057">
        <f>AVERAGE(C528:E528)</f>
        <v>0</v>
      </c>
      <c r="G526" s="1063">
        <v>20</v>
      </c>
      <c r="H526" s="1060">
        <f>IF(F526&gt;=0.2, 20, IF(F526&gt;=0.1, 10, IF(F526&gt;=0.05, 5, IF(F526&gt;=0.01, 1, 0))))</f>
        <v>0</v>
      </c>
      <c r="I526" s="20"/>
    </row>
    <row r="527" spans="1:9" ht="30" x14ac:dyDescent="0.25">
      <c r="A527" s="1080"/>
      <c r="B527" s="77" t="s">
        <v>125</v>
      </c>
      <c r="C527" s="314">
        <f>D565</f>
        <v>0</v>
      </c>
      <c r="D527" s="314">
        <f>E565</f>
        <v>0</v>
      </c>
      <c r="E527" s="314">
        <f>F565</f>
        <v>0</v>
      </c>
      <c r="F527" s="1058"/>
      <c r="G527" s="1064"/>
      <c r="H527" s="1061"/>
      <c r="I527" s="20"/>
    </row>
    <row r="528" spans="1:9" ht="30" x14ac:dyDescent="0.25">
      <c r="A528" s="1080"/>
      <c r="B528" s="77" t="s">
        <v>1183</v>
      </c>
      <c r="C528" s="79">
        <f>IF(ISERROR(C526/C527),0, IF((C526/C527&gt;1), "ERROR", C526/C527))</f>
        <v>0</v>
      </c>
      <c r="D528" s="79">
        <f>IF(ISERROR(D526/D527),0, IF((D526/D527&gt;1), "ERROR", D526/D527))</f>
        <v>0</v>
      </c>
      <c r="E528" s="79">
        <f>IF(ISERROR(E526/E527),0, IF((E526/E527&gt;1), "ERROR", E526/E527))</f>
        <v>0</v>
      </c>
      <c r="F528" s="1059"/>
      <c r="G528" s="1065"/>
      <c r="H528" s="1062"/>
      <c r="I528" s="20"/>
    </row>
    <row r="529" spans="1:9" x14ac:dyDescent="0.25">
      <c r="A529" s="1080"/>
      <c r="B529" s="1072" t="s">
        <v>126</v>
      </c>
      <c r="C529" s="1073"/>
      <c r="D529" s="1073"/>
      <c r="E529" s="1073"/>
      <c r="F529" s="1073"/>
      <c r="G529" s="1074"/>
      <c r="H529" s="902">
        <f>SUM(H523:H527)</f>
        <v>0</v>
      </c>
    </row>
    <row r="530" spans="1:9" ht="15.75" thickBot="1" x14ac:dyDescent="0.3">
      <c r="A530" s="1081"/>
      <c r="B530" s="1069" t="s">
        <v>127</v>
      </c>
      <c r="C530" s="1070"/>
      <c r="D530" s="1070"/>
      <c r="E530" s="1070"/>
      <c r="F530" s="1070"/>
      <c r="G530" s="1071"/>
      <c r="H530" s="904">
        <f>IF('Respondent Information'!C9="Florida", H529*1, H529*0.9)</f>
        <v>0</v>
      </c>
    </row>
    <row r="531" spans="1:9" ht="30" x14ac:dyDescent="0.25">
      <c r="A531" s="1079">
        <f>'Respondent Information'!D12</f>
        <v>0</v>
      </c>
      <c r="B531" s="77" t="s">
        <v>1173</v>
      </c>
      <c r="C531" s="78">
        <f>SUMIFS(O11:O510,A11:A510, A531, D11:D510, M553)</f>
        <v>0</v>
      </c>
      <c r="D531" s="78">
        <f>SUMIFS(O11:O510,A11:A510, A531, D11:D510, M554)</f>
        <v>0</v>
      </c>
      <c r="E531" s="78">
        <f>SUMIFS(O11:O510,A11:A510, A531, D11:D510, M555)</f>
        <v>0</v>
      </c>
      <c r="F531" s="1075">
        <f>AVERAGE(C533:E533)</f>
        <v>0</v>
      </c>
      <c r="G531" s="1082">
        <v>20</v>
      </c>
      <c r="H531" s="1076">
        <f>IF(F531&gt;=0.2, 20, IF(F531&gt;=0.1, 10, IF(F531&gt;=0.05, 5, IF(F531&gt;=0.01, 1, 0))))</f>
        <v>0</v>
      </c>
      <c r="I531" s="20"/>
    </row>
    <row r="532" spans="1:9" ht="45" x14ac:dyDescent="0.25">
      <c r="A532" s="1080"/>
      <c r="B532" s="77" t="s">
        <v>124</v>
      </c>
      <c r="C532" s="78">
        <f>G564</f>
        <v>0</v>
      </c>
      <c r="D532" s="78">
        <f>H564</f>
        <v>0</v>
      </c>
      <c r="E532" s="78">
        <f>J564</f>
        <v>0</v>
      </c>
      <c r="F532" s="1058"/>
      <c r="G532" s="1064"/>
      <c r="H532" s="1061"/>
      <c r="I532" s="20"/>
    </row>
    <row r="533" spans="1:9" ht="30" x14ac:dyDescent="0.25">
      <c r="A533" s="1080"/>
      <c r="B533" s="77" t="s">
        <v>1184</v>
      </c>
      <c r="C533" s="79">
        <f>IF(ISERROR(C531/C532),0, IF((C531/C532&gt;1), "ERROR", C531/C532))</f>
        <v>0</v>
      </c>
      <c r="D533" s="79">
        <f>IF(ISERROR(D531/D532),0, IF((D531/D532&gt;1), "ERROR", D531/D532))</f>
        <v>0</v>
      </c>
      <c r="E533" s="79">
        <f>IF(ISERROR(E531/E532),0, IF((E531/E532&gt;1), "ERROR", E531/E532))</f>
        <v>0</v>
      </c>
      <c r="F533" s="1059"/>
      <c r="G533" s="1065"/>
      <c r="H533" s="1062"/>
      <c r="I533" s="20"/>
    </row>
    <row r="534" spans="1:9" ht="45" x14ac:dyDescent="0.25">
      <c r="A534" s="1080"/>
      <c r="B534" s="77" t="s">
        <v>1260</v>
      </c>
      <c r="C534" s="314">
        <f>SUMIFS(T11:T510,A11:A510, A531, D11:D510, M553)</f>
        <v>0</v>
      </c>
      <c r="D534" s="314">
        <f>SUMIFS(T11:T510,A11:A510, A531, D11:D510, M554)</f>
        <v>0</v>
      </c>
      <c r="E534" s="314">
        <f>SUMIFS(T11:T510,A11:A510, A531, D11:D510, M555)</f>
        <v>0</v>
      </c>
      <c r="F534" s="1057">
        <f>AVERAGE(C536:E536)</f>
        <v>0</v>
      </c>
      <c r="G534" s="1063">
        <v>20</v>
      </c>
      <c r="H534" s="1060">
        <f>IF(F534&gt;=0.2, 20, IF(F534&gt;=0.1, 10, IF(F534&gt;=0.05, 5, IF(F534&gt;=0.01, 1, 0))))</f>
        <v>0</v>
      </c>
      <c r="I534" s="20"/>
    </row>
    <row r="535" spans="1:9" ht="30" x14ac:dyDescent="0.25">
      <c r="A535" s="1080"/>
      <c r="B535" s="77" t="s">
        <v>125</v>
      </c>
      <c r="C535" s="314">
        <f>G565</f>
        <v>0</v>
      </c>
      <c r="D535" s="314">
        <f>H565</f>
        <v>0</v>
      </c>
      <c r="E535" s="314">
        <f>J565</f>
        <v>0</v>
      </c>
      <c r="F535" s="1058"/>
      <c r="G535" s="1064"/>
      <c r="H535" s="1061"/>
      <c r="I535" s="20"/>
    </row>
    <row r="536" spans="1:9" ht="30" x14ac:dyDescent="0.25">
      <c r="A536" s="1080"/>
      <c r="B536" s="77" t="s">
        <v>1183</v>
      </c>
      <c r="C536" s="79">
        <f>IF(ISERROR(C534/C535),0, IF((C534/C535&gt;1), "ERROR", C534/C535))</f>
        <v>0</v>
      </c>
      <c r="D536" s="79">
        <f>IF(ISERROR(D534/D535),0, IF((D534/D535&gt;1), "ERROR", D534/D535))</f>
        <v>0</v>
      </c>
      <c r="E536" s="79">
        <f>IF(ISERROR(E534/E535),0, IF((E534/E535&gt;1), "ERROR", E534/E535))</f>
        <v>0</v>
      </c>
      <c r="F536" s="1059"/>
      <c r="G536" s="1065"/>
      <c r="H536" s="1062"/>
      <c r="I536" s="20"/>
    </row>
    <row r="537" spans="1:9" x14ac:dyDescent="0.25">
      <c r="A537" s="1080"/>
      <c r="B537" s="1072" t="s">
        <v>126</v>
      </c>
      <c r="C537" s="1073"/>
      <c r="D537" s="1073"/>
      <c r="E537" s="1073"/>
      <c r="F537" s="1073"/>
      <c r="G537" s="1074"/>
      <c r="H537" s="902">
        <f>SUM(H531:H536)</f>
        <v>0</v>
      </c>
    </row>
    <row r="538" spans="1:9" ht="15.75" thickBot="1" x14ac:dyDescent="0.3">
      <c r="A538" s="1081"/>
      <c r="B538" s="1069" t="s">
        <v>127</v>
      </c>
      <c r="C538" s="1070"/>
      <c r="D538" s="1070"/>
      <c r="E538" s="1070"/>
      <c r="F538" s="1070"/>
      <c r="G538" s="1071"/>
      <c r="H538" s="904">
        <f>IF('Respondent Information'!C12="Florida", H537*1, H537*0.9)</f>
        <v>0</v>
      </c>
    </row>
    <row r="539" spans="1:9" ht="15.75" thickBot="1" x14ac:dyDescent="0.3">
      <c r="A539" s="1077" t="s">
        <v>128</v>
      </c>
      <c r="B539" s="1078"/>
      <c r="C539" s="1078"/>
      <c r="D539" s="1078"/>
      <c r="E539" s="1078"/>
      <c r="F539" s="1078"/>
      <c r="G539" s="1078"/>
      <c r="H539" s="905">
        <f>H522+H530+H538</f>
        <v>0</v>
      </c>
    </row>
    <row r="540" spans="1:9" x14ac:dyDescent="0.25">
      <c r="A540" s="20"/>
      <c r="F540" s="82"/>
    </row>
    <row r="541" spans="1:9" x14ac:dyDescent="0.25">
      <c r="A541" s="20"/>
      <c r="F541" s="82"/>
    </row>
    <row r="542" spans="1:9" x14ac:dyDescent="0.25">
      <c r="A542" s="20"/>
      <c r="F542" s="82"/>
    </row>
    <row r="543" spans="1:9" hidden="1" x14ac:dyDescent="0.25">
      <c r="E543" s="82"/>
    </row>
    <row r="544" spans="1:9" hidden="1" x14ac:dyDescent="0.25"/>
    <row r="545" spans="1:20" hidden="1" x14ac:dyDescent="0.25">
      <c r="L545" s="307"/>
      <c r="S545" cm="1">
        <f t="array" ref="S545">_xlfn.XLOOKUP($L545&amp;S544, $A$562:$J$562&amp;$A$563:$J$563, $A$564:$J$564, " ")</f>
        <v>0</v>
      </c>
      <c r="T545" cm="1">
        <f t="array" ref="T545">_xlfn.XLOOKUP($L545&amp;T544, $A$562:$J$562&amp;$A$563:$J$563, $A$564:$J$564, " ")</f>
        <v>0</v>
      </c>
    </row>
    <row r="546" spans="1:20" hidden="1" x14ac:dyDescent="0.25">
      <c r="L546" s="307"/>
      <c r="S546" cm="1">
        <f t="array" ref="S546">_xlfn.XLOOKUP($L546&amp;S544, $A$562:$J$562&amp;$A$563:$J$563, $A$564:$J$564, " ")</f>
        <v>0</v>
      </c>
      <c r="T546" cm="1">
        <f t="array" ref="T546">_xlfn.XLOOKUP($L546&amp;T544, $A$562:$J$562&amp;$A$563:$J$563, $A$564:$J$564, " ")</f>
        <v>0</v>
      </c>
    </row>
    <row r="547" spans="1:20" hidden="1" x14ac:dyDescent="0.25">
      <c r="L547" s="307"/>
      <c r="S547" cm="1">
        <f t="array" ref="S547">_xlfn.XLOOKUP($L547&amp;S544, $A$562:$J$562&amp;$A$563:$J$563, $A$564:$J$564, " ")</f>
        <v>0</v>
      </c>
      <c r="T547" cm="1">
        <f t="array" ref="T547">_xlfn.XLOOKUP($L547&amp;T544, $A$562:$J$562&amp;$A$563:$J$563, $A$564:$J$564, " ")</f>
        <v>0</v>
      </c>
    </row>
    <row r="548" spans="1:20" hidden="1" x14ac:dyDescent="0.25"/>
    <row r="549" spans="1:20" hidden="1" x14ac:dyDescent="0.25"/>
    <row r="550" spans="1:20" ht="39" hidden="1" customHeight="1" x14ac:dyDescent="0.25"/>
    <row r="551" spans="1:20" hidden="1" x14ac:dyDescent="0.25"/>
    <row r="552" spans="1:20" hidden="1" x14ac:dyDescent="0.25">
      <c r="A552">
        <f>'Respondent Information'!D6</f>
        <v>0</v>
      </c>
      <c r="B552">
        <f>'Respondent Information'!D9</f>
        <v>0</v>
      </c>
      <c r="C552">
        <f>'Respondent Information'!D12</f>
        <v>0</v>
      </c>
      <c r="D552" t="s">
        <v>1208</v>
      </c>
      <c r="E552" s="307">
        <f>A553</f>
        <v>0</v>
      </c>
      <c r="F552" s="307">
        <f>B553</f>
        <v>0</v>
      </c>
      <c r="G552" s="307">
        <f>C553</f>
        <v>0</v>
      </c>
      <c r="H552" s="17" t="s">
        <v>1180</v>
      </c>
      <c r="K552" s="316" t="s">
        <v>129</v>
      </c>
      <c r="L552" s="309" t="s">
        <v>130</v>
      </c>
      <c r="M552" s="309" t="s">
        <v>131</v>
      </c>
    </row>
    <row r="553" spans="1:20" ht="30" hidden="1" x14ac:dyDescent="0.25">
      <c r="A553" s="307">
        <f>'Respondent Information'!C6</f>
        <v>0</v>
      </c>
      <c r="B553" s="307">
        <f>'Respondent Information'!C9</f>
        <v>0</v>
      </c>
      <c r="C553" s="307">
        <f>'Respondent Information'!C12</f>
        <v>0</v>
      </c>
      <c r="H553" s="906" t="s">
        <v>1179</v>
      </c>
      <c r="J553" t="s">
        <v>120</v>
      </c>
      <c r="K553" s="113">
        <f>'Respondent Information'!I5</f>
        <v>0</v>
      </c>
      <c r="L553" s="113">
        <f>'Respondent Information'!I9</f>
        <v>0</v>
      </c>
      <c r="M553" s="113">
        <f>'Respondent Information'!I12</f>
        <v>0</v>
      </c>
    </row>
    <row r="554" spans="1:20" ht="30" hidden="1" x14ac:dyDescent="0.25">
      <c r="A554" s="113">
        <f>'Respondent Information'!E6</f>
        <v>0</v>
      </c>
      <c r="B554" s="113">
        <f>'Respondent Information'!E9</f>
        <v>0</v>
      </c>
      <c r="C554" s="113">
        <f>'Respondent Information'!E12</f>
        <v>0</v>
      </c>
      <c r="E554" s="113"/>
      <c r="F554" s="113"/>
      <c r="G554" s="113"/>
      <c r="H554" s="906" t="s">
        <v>1181</v>
      </c>
      <c r="J554" t="s">
        <v>121</v>
      </c>
      <c r="K554" s="113">
        <f>'Respondent Information'!K5</f>
        <v>0</v>
      </c>
      <c r="L554" s="113">
        <f>'Respondent Information'!K9</f>
        <v>0</v>
      </c>
      <c r="M554" s="113">
        <f>'Respondent Information'!K12</f>
        <v>0</v>
      </c>
    </row>
    <row r="555" spans="1:20" ht="30" hidden="1" x14ac:dyDescent="0.25">
      <c r="A555" s="113">
        <f>'Respondent Information'!I5</f>
        <v>0</v>
      </c>
      <c r="B555" s="113">
        <f>'Respondent Information'!I9</f>
        <v>0</v>
      </c>
      <c r="C555" s="113">
        <f>'Respondent Information'!I12</f>
        <v>0</v>
      </c>
      <c r="H555" s="906" t="s">
        <v>1182</v>
      </c>
      <c r="J555" t="s">
        <v>122</v>
      </c>
      <c r="K555" s="113">
        <f>'Respondent Information'!M5</f>
        <v>0</v>
      </c>
      <c r="L555" s="113">
        <f>'Respondent Information'!M9</f>
        <v>0</v>
      </c>
      <c r="M555" s="113">
        <f>'Respondent Information'!M12</f>
        <v>0</v>
      </c>
    </row>
    <row r="556" spans="1:20" hidden="1" x14ac:dyDescent="0.25">
      <c r="A556" s="113">
        <f>'Respondent Information'!K5</f>
        <v>0</v>
      </c>
      <c r="B556" s="113">
        <f>'Respondent Information'!K9</f>
        <v>0</v>
      </c>
      <c r="C556" s="113">
        <f>'Respondent Information'!K12</f>
        <v>0</v>
      </c>
    </row>
    <row r="557" spans="1:20" hidden="1" x14ac:dyDescent="0.25">
      <c r="A557" s="113">
        <f>'Respondent Information'!M5</f>
        <v>0</v>
      </c>
      <c r="B557" s="113">
        <f>'Respondent Information'!M9</f>
        <v>0</v>
      </c>
      <c r="C557" s="113">
        <f>'Respondent Information'!M12</f>
        <v>0</v>
      </c>
    </row>
    <row r="558" spans="1:20" hidden="1" x14ac:dyDescent="0.25">
      <c r="E558" s="307">
        <f>E552</f>
        <v>0</v>
      </c>
      <c r="F558" s="307">
        <f>F552</f>
        <v>0</v>
      </c>
      <c r="G558" s="307">
        <f>G552</f>
        <v>0</v>
      </c>
    </row>
    <row r="559" spans="1:20" hidden="1" x14ac:dyDescent="0.25"/>
    <row r="560" spans="1:20" hidden="1" x14ac:dyDescent="0.25"/>
    <row r="561" spans="1:12" hidden="1" x14ac:dyDescent="0.25">
      <c r="L561">
        <v>1</v>
      </c>
    </row>
    <row r="562" spans="1:12" hidden="1" x14ac:dyDescent="0.25">
      <c r="A562" s="307">
        <f>$A$552</f>
        <v>0</v>
      </c>
      <c r="B562" s="307">
        <f>$A$552</f>
        <v>0</v>
      </c>
      <c r="C562" s="307">
        <f>$A$552</f>
        <v>0</v>
      </c>
      <c r="D562" s="307">
        <f>$B$552</f>
        <v>0</v>
      </c>
      <c r="E562" s="307">
        <f>$B$552</f>
        <v>0</v>
      </c>
      <c r="F562" s="307">
        <f>$B$552</f>
        <v>0</v>
      </c>
      <c r="G562" s="307">
        <f>$C$552</f>
        <v>0</v>
      </c>
      <c r="H562" s="907">
        <f>$C$552</f>
        <v>0</v>
      </c>
      <c r="I562" s="307"/>
      <c r="J562" s="307">
        <f>$C$552</f>
        <v>0</v>
      </c>
      <c r="L562">
        <v>2</v>
      </c>
    </row>
    <row r="563" spans="1:12" hidden="1" x14ac:dyDescent="0.25">
      <c r="A563" s="113">
        <f>A555</f>
        <v>0</v>
      </c>
      <c r="B563" s="113">
        <f>A556</f>
        <v>0</v>
      </c>
      <c r="C563" s="113">
        <f>A557</f>
        <v>0</v>
      </c>
      <c r="D563" s="113">
        <f>B555</f>
        <v>0</v>
      </c>
      <c r="E563" s="113">
        <f>B556</f>
        <v>0</v>
      </c>
      <c r="F563" s="113">
        <f>B557</f>
        <v>0</v>
      </c>
      <c r="G563" s="113">
        <f>C555</f>
        <v>0</v>
      </c>
      <c r="H563" s="908">
        <f>C556</f>
        <v>0</v>
      </c>
      <c r="I563" s="113"/>
      <c r="J563" s="113">
        <f>C557</f>
        <v>0</v>
      </c>
      <c r="L563">
        <v>3</v>
      </c>
    </row>
    <row r="564" spans="1:12" hidden="1" x14ac:dyDescent="0.25">
      <c r="A564" s="307">
        <f>'Respondent Information'!I7</f>
        <v>0</v>
      </c>
      <c r="B564" s="307">
        <f>'Respondent Information'!K7</f>
        <v>0</v>
      </c>
      <c r="C564" s="307">
        <f>'Respondent Information'!M7</f>
        <v>0</v>
      </c>
      <c r="D564" s="307">
        <f>'Respondent Information'!I10</f>
        <v>0</v>
      </c>
      <c r="E564" s="307">
        <f>'Respondent Information'!K10</f>
        <v>0</v>
      </c>
      <c r="F564" s="307">
        <f>'Respondent Information'!M10</f>
        <v>0</v>
      </c>
      <c r="G564" s="307">
        <f>'Respondent Information'!I13</f>
        <v>0</v>
      </c>
      <c r="H564" s="907">
        <f>'Respondent Information'!K13</f>
        <v>0</v>
      </c>
      <c r="I564" s="307"/>
      <c r="J564" s="307">
        <f>'Respondent Information'!M13</f>
        <v>0</v>
      </c>
      <c r="L564">
        <v>4</v>
      </c>
    </row>
    <row r="565" spans="1:12" hidden="1" x14ac:dyDescent="0.25">
      <c r="A565" s="313">
        <f>'Respondent Information'!I8</f>
        <v>0</v>
      </c>
      <c r="B565" s="313">
        <f>'Respondent Information'!K8</f>
        <v>0</v>
      </c>
      <c r="C565" s="313">
        <f>'Respondent Information'!M8</f>
        <v>0</v>
      </c>
      <c r="D565" s="313">
        <f>'Respondent Information'!I11</f>
        <v>0</v>
      </c>
      <c r="E565" s="313">
        <f>'Respondent Information'!K11</f>
        <v>0</v>
      </c>
      <c r="F565" s="313">
        <f>'Respondent Information'!M11</f>
        <v>0</v>
      </c>
      <c r="G565" s="313">
        <f>'Respondent Information'!I14</f>
        <v>0</v>
      </c>
      <c r="H565" s="909">
        <f>'Respondent Information'!K14</f>
        <v>0</v>
      </c>
      <c r="I565" s="313"/>
      <c r="J565" s="313">
        <f>'Respondent Information'!M14</f>
        <v>0</v>
      </c>
      <c r="L565">
        <v>5</v>
      </c>
    </row>
    <row r="566" spans="1:12" hidden="1" x14ac:dyDescent="0.25">
      <c r="L566">
        <v>6</v>
      </c>
    </row>
    <row r="567" spans="1:12" hidden="1" x14ac:dyDescent="0.25">
      <c r="L567">
        <v>7</v>
      </c>
    </row>
    <row r="568" spans="1:12" hidden="1" x14ac:dyDescent="0.25">
      <c r="L568">
        <v>8</v>
      </c>
    </row>
    <row r="569" spans="1:12" hidden="1" x14ac:dyDescent="0.25">
      <c r="L569">
        <v>9</v>
      </c>
    </row>
    <row r="570" spans="1:12" hidden="1" x14ac:dyDescent="0.25">
      <c r="L570">
        <v>10</v>
      </c>
    </row>
    <row r="571" spans="1:12" hidden="1" x14ac:dyDescent="0.25">
      <c r="L571">
        <v>11</v>
      </c>
    </row>
    <row r="572" spans="1:12" hidden="1" x14ac:dyDescent="0.25">
      <c r="K572"/>
    </row>
    <row r="573" spans="1:12" hidden="1" x14ac:dyDescent="0.25">
      <c r="K573"/>
    </row>
    <row r="574" spans="1:12" hidden="1" x14ac:dyDescent="0.25">
      <c r="K574"/>
    </row>
    <row r="575" spans="1:12" hidden="1" x14ac:dyDescent="0.25">
      <c r="K575"/>
    </row>
    <row r="576" spans="1:12" hidden="1" x14ac:dyDescent="0.25">
      <c r="K576"/>
    </row>
    <row r="577" spans="11:11" hidden="1" x14ac:dyDescent="0.25">
      <c r="K577"/>
    </row>
  </sheetData>
  <protectedRanges>
    <protectedRange algorithmName="SHA-512" hashValue="wD8+YWlaUB+6GtVqhbckByXxMc6HD1RWkeqxqf/lKDQJuawR5gBSbCDRuslLOyWqukyyKHniV9F/jykOj17K8w==" saltValue="6LByNALnpaQ87LUt+6m5ow==" spinCount="100000" sqref="G11:V510" name="ExpendituresTOEnd"/>
    <protectedRange algorithmName="SHA-512" hashValue="6KtJnVpLNguXq5qjAJMwZTgr+dpNYVHx7OEh6fvIdv3e5tEjXcVtR2+xJ50zFw4EcAryf9JYedj0wYYpha1SIg==" saltValue="k+xzscCri1zWYRpd2+goAA==" spinCount="100000" sqref="B11:B510 D11:D510" name="State and Calendar Year"/>
  </protectedRanges>
  <mergeCells count="32">
    <mergeCell ref="C1:E1"/>
    <mergeCell ref="H518:H520"/>
    <mergeCell ref="A539:G539"/>
    <mergeCell ref="B538:G538"/>
    <mergeCell ref="A515:A522"/>
    <mergeCell ref="A523:A530"/>
    <mergeCell ref="A531:A538"/>
    <mergeCell ref="F518:F520"/>
    <mergeCell ref="G515:G517"/>
    <mergeCell ref="B537:G537"/>
    <mergeCell ref="F531:F533"/>
    <mergeCell ref="G531:G533"/>
    <mergeCell ref="G518:G520"/>
    <mergeCell ref="G523:G525"/>
    <mergeCell ref="H531:H533"/>
    <mergeCell ref="F534:F536"/>
    <mergeCell ref="G534:G536"/>
    <mergeCell ref="H534:H536"/>
    <mergeCell ref="B521:G521"/>
    <mergeCell ref="B522:G522"/>
    <mergeCell ref="B530:G530"/>
    <mergeCell ref="B529:G529"/>
    <mergeCell ref="F523:F525"/>
    <mergeCell ref="H523:H525"/>
    <mergeCell ref="F526:F528"/>
    <mergeCell ref="G526:G528"/>
    <mergeCell ref="H526:H528"/>
    <mergeCell ref="A512:B512"/>
    <mergeCell ref="F515:F517"/>
    <mergeCell ref="C3:E3"/>
    <mergeCell ref="C512:E512"/>
    <mergeCell ref="H515:H517"/>
  </mergeCells>
  <phoneticPr fontId="39" type="noConversion"/>
  <dataValidations count="11">
    <dataValidation type="list" allowBlank="1" showInputMessage="1" showErrorMessage="1" sqref="C574:C577 C572" xr:uid="{83563ABA-F33A-461E-B08C-E387CA564A62}">
      <formula1>$E$193:$E$198</formula1>
    </dataValidation>
    <dataValidation type="whole" allowBlank="1" showInputMessage="1" showErrorMessage="1" sqref="B4" xr:uid="{E103D60C-5C1E-445A-8BF8-F7567B450177}">
      <formula1>120</formula1>
      <formula2>120</formula2>
    </dataValidation>
    <dataValidation type="list" allowBlank="1" showInputMessage="1" showErrorMessage="1" sqref="K11:K510" xr:uid="{B744A61F-ACCD-4ED8-9050-655C22F89D87}">
      <formula1>$L$561:$L$571</formula1>
    </dataValidation>
    <dataValidation type="list" allowBlank="1" showInputMessage="1" showErrorMessage="1" sqref="H11:H510" xr:uid="{30B9FA13-607E-4506-A6B0-C5D12E76BF6C}">
      <formula1>$X$12:$X$19</formula1>
    </dataValidation>
    <dataValidation type="textLength" allowBlank="1" showInputMessage="1" showErrorMessage="1" sqref="L11:L510" xr:uid="{3B6F8670-31A3-46AD-A8B2-AAF203B3D251}">
      <formula1>0</formula1>
      <formula2>1000</formula2>
    </dataValidation>
    <dataValidation type="whole" allowBlank="1" showInputMessage="1" showErrorMessage="1" sqref="M11:M510" xr:uid="{6FDEED7E-2B06-4B65-8F45-733226FB5F78}">
      <formula1>0</formula1>
      <formula2>1000000000</formula2>
    </dataValidation>
    <dataValidation type="list" allowBlank="1" showInputMessage="1" showErrorMessage="1" sqref="J11:J510" xr:uid="{4D17D09A-340B-4DC9-B2CD-F6D49AD9E5BC}">
      <formula1>$X$22:$X$29</formula1>
    </dataValidation>
    <dataValidation type="list" allowBlank="1" showInputMessage="1" showErrorMessage="1" sqref="A11:A510" xr:uid="{0D921C6F-7955-4AC2-9F4B-2E9ECEC8C32D}">
      <formula1>$A$552:$C$552</formula1>
    </dataValidation>
    <dataValidation type="list" allowBlank="1" showInputMessage="1" showErrorMessage="1" sqref="D11:D510" xr:uid="{CBC6522D-6DD9-40D8-88E7-39641F9FB647}">
      <formula1>IF(ISBLANK(A11), " ", _xlfn.XLOOKUP(A11,$A$552:$C$552,$A$555:$C$557))</formula1>
    </dataValidation>
    <dataValidation type="list" allowBlank="1" showInputMessage="1" showErrorMessage="1" sqref="B574:B577 B572" xr:uid="{AC9A6606-3CEB-4147-8898-0CEB76447C0D}">
      <formula1>$C$193:$C$195</formula1>
    </dataValidation>
    <dataValidation type="whole" allowBlank="1" showInputMessage="1" showErrorMessage="1" sqref="N11:V510" xr:uid="{C82091DB-3381-4506-822D-C2973D9B671C}">
      <formula1>0</formula1>
      <formula2>1E+26</formula2>
    </dataValidation>
  </dataValidations>
  <hyperlinks>
    <hyperlink ref="C3" location="'Value Based Purchasing'!A164" display="Click Here to Go to the Scoring Table" xr:uid="{34B4224C-2CF9-441F-82DF-A4B3AE6E9894}"/>
    <hyperlink ref="C512" location="'Value Based Purchasing'!A10" display="Back to Top" xr:uid="{87D9474A-081F-470B-A6FC-5D93BC9786D8}"/>
    <hyperlink ref="C1:E1" location="'Respondent Information'!A1" display="Back to Respondent Information" xr:uid="{7B4C9B57-25B5-461B-B444-3A88244117F5}"/>
    <hyperlink ref="F3" location="'Value Based Purchasing'!A11" display="Back to Top (Entry #1)" xr:uid="{58532256-E4FE-4794-8FFD-66C0E64408E4}"/>
    <hyperlink ref="C3:E3" location="'Value Based Purchasing'!A515" display="Click Here to Go to the Scoring Table" xr:uid="{FEE2DE26-F963-4BF9-9B84-2A2AF3DD48BF}"/>
    <hyperlink ref="C512:E512" location="'Value Based Purchasing'!A11" display="Back to Top" xr:uid="{9B9E9F69-7605-4BBB-925C-BD41F6039455}"/>
    <hyperlink ref="F4" location="'Value Based Purchasing'!A110" display="Skip to Entry #100" xr:uid="{72155B92-0901-41B7-B101-0B9E8E057931}"/>
    <hyperlink ref="F6" location="'Value Based Purchasing'!A310" display="Skip to Entry #300" xr:uid="{DF2F810D-A28A-476F-830D-B373B06A4995}"/>
    <hyperlink ref="F7" location="'Value Based Purchasing'!A410" display="Skip to Entry #400" xr:uid="{B2E2C1EA-12AE-4835-AB44-8B36ED63E589}"/>
    <hyperlink ref="F5" location="'Value Based Purchasing'!A210" display="Skip to Entry #200" xr:uid="{DC598B99-D013-43A1-BC8F-48786917F4F3}"/>
  </hyperlinks>
  <pageMargins left="0.7" right="0.7" top="0.75" bottom="0.75" header="0.3" footer="0.3"/>
  <pageSetup scale="17" fitToHeight="0" orientation="landscape" r:id="rId1"/>
  <headerFooter>
    <oddHeader>&amp;C&amp;"Arial,Bold"&amp;14EXHIBIT A-5-a-V3
SUBMISSION REQUIREMENTS AND EVALUATION RESPONSE TEMPLATE</oddHeader>
    <oddFooter>&amp;CAHCA ITN 010-22/23, Attachment A, Exhibit A-5-a-V3, Page &amp;P of &amp;N</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6A845-42B9-4B85-9275-71E17C925CD9}">
  <sheetPr codeName="Sheet36">
    <tabColor theme="4" tint="0.79998168889431442"/>
  </sheetPr>
  <dimension ref="A1:M5"/>
  <sheetViews>
    <sheetView zoomScaleNormal="100" workbookViewId="0"/>
  </sheetViews>
  <sheetFormatPr defaultRowHeight="15" x14ac:dyDescent="0.25"/>
  <cols>
    <col min="1" max="1" width="9.140625" customWidth="1"/>
  </cols>
  <sheetData>
    <row r="1" spans="1:13" ht="23.25" x14ac:dyDescent="0.35">
      <c r="A1" s="691" t="s">
        <v>132</v>
      </c>
      <c r="B1" s="691"/>
      <c r="C1" s="691"/>
      <c r="D1" s="691"/>
      <c r="E1" s="691"/>
      <c r="F1" s="691"/>
      <c r="G1" s="691"/>
      <c r="H1" s="691"/>
      <c r="I1" s="691"/>
    </row>
    <row r="2" spans="1:13" ht="23.25" x14ac:dyDescent="0.35">
      <c r="A2" s="691" t="s">
        <v>133</v>
      </c>
      <c r="B2" s="691"/>
      <c r="C2" s="691"/>
      <c r="D2" s="691"/>
      <c r="E2" s="691"/>
      <c r="F2" s="691"/>
      <c r="G2" s="691"/>
      <c r="H2" s="691"/>
      <c r="I2" s="691"/>
      <c r="M2" s="392"/>
    </row>
    <row r="3" spans="1:13" ht="6" customHeight="1" x14ac:dyDescent="0.35">
      <c r="A3" s="691"/>
      <c r="B3" s="691"/>
      <c r="C3" s="691"/>
      <c r="D3" s="691"/>
      <c r="E3" s="691"/>
      <c r="F3" s="691"/>
      <c r="G3" s="691"/>
      <c r="H3" s="691"/>
      <c r="I3" s="691"/>
      <c r="M3" s="392"/>
    </row>
    <row r="4" spans="1:13" x14ac:dyDescent="0.25">
      <c r="A4" s="1083" t="s">
        <v>82</v>
      </c>
      <c r="B4" s="1083"/>
      <c r="C4" s="1083"/>
      <c r="D4" s="1083"/>
    </row>
    <row r="5" spans="1:13" ht="7.5" customHeight="1" x14ac:dyDescent="0.25"/>
  </sheetData>
  <sheetProtection algorithmName="SHA-512" hashValue="iZfEuEi7ZbPdI4zVjsf58ClzJ6vtVBQKgxct8whBJG4iW+9Wuq3BHkmO+CjYzW9yR96U/qxWqHnHAl9jSUtyeg==" saltValue="VojJbtQX+AYG6Jr5gqYhcw==" spinCount="100000" sheet="1" objects="1" scenarios="1"/>
  <mergeCells count="1">
    <mergeCell ref="A4:D4"/>
  </mergeCells>
  <hyperlinks>
    <hyperlink ref="A4" location="'Respondent Information'!A1" display="Back to Respondent Information" xr:uid="{69649787-B3F7-4A3B-9F0B-9834A4F66496}"/>
  </hyperlinks>
  <pageMargins left="0.7" right="0.7" top="0.75" bottom="0.75" header="0.3" footer="0.3"/>
  <pageSetup orientation="portrait" r:id="rId1"/>
  <headerFooter>
    <oddHeader>&amp;C&amp;"Arial,Bold"&amp;14EXHIBIT A-5-a-V3
SUBMISSION REQUIREMENTS AND EVALUATION RESPONSE TEMPLATE</oddHeader>
    <oddFooter>&amp;C&amp;"Arial,Bold"AHCA ITN 010-22/23, Attachment A, Exhibit A-5-a-V3, 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1E5CE-901A-422C-AAA4-244ED5C8B7AE}">
  <sheetPr codeName="Sheet37">
    <tabColor theme="4" tint="0.79998168889431442"/>
    <pageSetUpPr fitToPage="1"/>
  </sheetPr>
  <dimension ref="A1:R149"/>
  <sheetViews>
    <sheetView zoomScaleNormal="100" workbookViewId="0"/>
  </sheetViews>
  <sheetFormatPr defaultRowHeight="15" x14ac:dyDescent="0.25"/>
  <cols>
    <col min="1" max="1" width="37" customWidth="1"/>
    <col min="2" max="2" width="38" customWidth="1"/>
    <col min="3" max="3" width="15.42578125" customWidth="1"/>
    <col min="4" max="4" width="48.42578125" customWidth="1"/>
    <col min="5" max="5" width="15.28515625" bestFit="1" customWidth="1"/>
    <col min="8" max="8" width="39.42578125" bestFit="1" customWidth="1"/>
    <col min="9" max="9" width="32.7109375" bestFit="1" customWidth="1"/>
    <col min="10" max="10" width="11.28515625" bestFit="1" customWidth="1"/>
    <col min="12" max="12" width="9.140625" hidden="1" customWidth="1"/>
    <col min="13" max="17" width="9.140625" customWidth="1"/>
    <col min="18" max="18" width="9.140625" hidden="1" customWidth="1"/>
    <col min="19" max="19" width="9.140625" customWidth="1"/>
  </cols>
  <sheetData>
    <row r="1" spans="1:18" ht="23.25" x14ac:dyDescent="0.35">
      <c r="A1" s="691" t="s">
        <v>134</v>
      </c>
      <c r="D1" s="643" t="s">
        <v>82</v>
      </c>
    </row>
    <row r="2" spans="1:18" ht="16.5" customHeight="1" x14ac:dyDescent="0.45">
      <c r="A2" s="14"/>
    </row>
    <row r="3" spans="1:18" x14ac:dyDescent="0.25">
      <c r="A3" s="692" t="s">
        <v>84</v>
      </c>
      <c r="B3" s="692" t="s">
        <v>85</v>
      </c>
    </row>
    <row r="4" spans="1:18" x14ac:dyDescent="0.25">
      <c r="A4" s="693" t="s">
        <v>87</v>
      </c>
      <c r="B4" s="179">
        <v>195</v>
      </c>
    </row>
    <row r="5" spans="1:18" x14ac:dyDescent="0.25">
      <c r="A5" s="693" t="s">
        <v>88</v>
      </c>
      <c r="B5" s="179">
        <f>C149</f>
        <v>0</v>
      </c>
      <c r="C5" s="111"/>
      <c r="D5" s="111"/>
    </row>
    <row r="6" spans="1:18" x14ac:dyDescent="0.25">
      <c r="A6" s="413" t="s">
        <v>89</v>
      </c>
      <c r="B6" s="420">
        <f>B5/B4</f>
        <v>0</v>
      </c>
      <c r="C6" s="111"/>
      <c r="D6" s="111"/>
    </row>
    <row r="7" spans="1:18" x14ac:dyDescent="0.25">
      <c r="A7" s="413" t="s">
        <v>135</v>
      </c>
      <c r="B7" s="414">
        <v>370</v>
      </c>
      <c r="C7" s="111"/>
      <c r="D7" s="111"/>
    </row>
    <row r="8" spans="1:18" x14ac:dyDescent="0.25">
      <c r="A8" s="413" t="s">
        <v>136</v>
      </c>
      <c r="B8" s="421">
        <f>B6*B7</f>
        <v>0</v>
      </c>
      <c r="C8" s="111"/>
      <c r="D8" s="111"/>
    </row>
    <row r="9" spans="1:18" ht="15.75" thickBot="1" x14ac:dyDescent="0.3">
      <c r="A9" s="195"/>
      <c r="B9" s="482"/>
      <c r="C9" s="111"/>
      <c r="D9" s="111"/>
      <c r="R9" t="s">
        <v>26</v>
      </c>
    </row>
    <row r="10" spans="1:18" ht="24" thickBot="1" x14ac:dyDescent="0.4">
      <c r="A10" s="484"/>
      <c r="B10" s="794" t="s">
        <v>8</v>
      </c>
      <c r="C10" s="415"/>
      <c r="R10" t="s">
        <v>28</v>
      </c>
    </row>
    <row r="11" spans="1:18" ht="15.75" thickBot="1" x14ac:dyDescent="0.3">
      <c r="A11" s="483" t="s">
        <v>137</v>
      </c>
      <c r="B11" s="792" t="s">
        <v>66</v>
      </c>
      <c r="C11" s="793"/>
    </row>
    <row r="12" spans="1:18" ht="60" customHeight="1" x14ac:dyDescent="0.25">
      <c r="A12" s="1099" t="s">
        <v>1259</v>
      </c>
      <c r="B12" s="1100"/>
      <c r="C12" s="306"/>
    </row>
    <row r="13" spans="1:18" ht="45" customHeight="1" thickBot="1" x14ac:dyDescent="0.3">
      <c r="A13" s="296"/>
      <c r="B13" s="795" t="s">
        <v>138</v>
      </c>
    </row>
    <row r="14" spans="1:18" ht="30" x14ac:dyDescent="0.25">
      <c r="A14" s="366" t="s">
        <v>139</v>
      </c>
      <c r="B14" s="796"/>
    </row>
    <row r="15" spans="1:18" x14ac:dyDescent="0.25">
      <c r="A15" s="120" t="s">
        <v>140</v>
      </c>
      <c r="B15" s="698"/>
    </row>
    <row r="16" spans="1:18" ht="15.75" customHeight="1" x14ac:dyDescent="0.25">
      <c r="A16" s="120" t="s">
        <v>141</v>
      </c>
      <c r="B16" s="698"/>
    </row>
    <row r="17" spans="1:12" x14ac:dyDescent="0.25">
      <c r="A17" s="120" t="s">
        <v>142</v>
      </c>
      <c r="B17" s="698"/>
    </row>
    <row r="18" spans="1:12" ht="30" x14ac:dyDescent="0.25">
      <c r="A18" s="120" t="s">
        <v>143</v>
      </c>
      <c r="B18" s="698"/>
    </row>
    <row r="19" spans="1:12" x14ac:dyDescent="0.25">
      <c r="A19" s="120" t="s">
        <v>144</v>
      </c>
      <c r="B19" s="698"/>
    </row>
    <row r="20" spans="1:12" x14ac:dyDescent="0.25">
      <c r="A20" s="120" t="s">
        <v>145</v>
      </c>
      <c r="B20" s="698"/>
    </row>
    <row r="21" spans="1:12" x14ac:dyDescent="0.25">
      <c r="A21" s="120" t="s">
        <v>146</v>
      </c>
      <c r="B21" s="698"/>
    </row>
    <row r="22" spans="1:12" ht="16.5" customHeight="1" thickBot="1" x14ac:dyDescent="0.3">
      <c r="A22" s="175" t="s">
        <v>147</v>
      </c>
      <c r="B22" s="797"/>
    </row>
    <row r="23" spans="1:12" ht="39" customHeight="1" thickBot="1" x14ac:dyDescent="0.3">
      <c r="A23" s="1101" t="s">
        <v>1220</v>
      </c>
      <c r="B23" s="1101"/>
      <c r="C23" s="1101"/>
      <c r="D23" s="1101"/>
      <c r="E23" s="1101"/>
      <c r="F23" s="1101"/>
      <c r="G23" s="1101"/>
      <c r="H23" s="1101"/>
      <c r="I23" s="1101"/>
      <c r="J23" s="1102"/>
    </row>
    <row r="24" spans="1:12" ht="16.5" customHeight="1" thickBot="1" x14ac:dyDescent="0.3">
      <c r="A24" s="1086" t="s">
        <v>1221</v>
      </c>
      <c r="B24" s="1086"/>
      <c r="C24" s="771" t="s">
        <v>1222</v>
      </c>
      <c r="D24" s="771" t="s">
        <v>1223</v>
      </c>
      <c r="E24" s="771" t="s">
        <v>1224</v>
      </c>
      <c r="F24" s="771" t="s">
        <v>1225</v>
      </c>
      <c r="G24" s="771" t="s">
        <v>1226</v>
      </c>
      <c r="H24" s="771" t="s">
        <v>1227</v>
      </c>
      <c r="I24" s="771" t="s">
        <v>1228</v>
      </c>
      <c r="J24" s="295" t="s">
        <v>1229</v>
      </c>
      <c r="L24" s="291" t="s">
        <v>1276</v>
      </c>
    </row>
    <row r="25" spans="1:12" ht="16.5" customHeight="1" x14ac:dyDescent="0.25">
      <c r="A25" s="1087"/>
      <c r="B25" s="1087"/>
      <c r="C25" s="798"/>
      <c r="D25" s="798"/>
      <c r="E25" s="798"/>
      <c r="F25" s="798"/>
      <c r="G25" s="798"/>
      <c r="H25" s="798"/>
      <c r="I25" s="798"/>
      <c r="J25" s="866"/>
      <c r="L25">
        <f>IF(AND(NOT(ISBLANK(A25)),NOT(ISBLANK(C25)), NOT(ISBLANK(D25)), NOT(ISBLANK(E25)), NOT(ISBLANK(F25)), NOT(ISBLANK(G25)), NOT(ISBLANK(H25)), NOT(ISBLANK(I25)), NOT(ISBLANK(J25))), 1, 0)</f>
        <v>0</v>
      </c>
    </row>
    <row r="26" spans="1:12" ht="16.5" customHeight="1" x14ac:dyDescent="0.25">
      <c r="A26" s="1090"/>
      <c r="B26" s="1090"/>
      <c r="C26" s="799"/>
      <c r="D26" s="799"/>
      <c r="E26" s="799"/>
      <c r="F26" s="799"/>
      <c r="G26" s="799"/>
      <c r="H26" s="799"/>
      <c r="I26" s="799"/>
      <c r="J26" s="867"/>
    </row>
    <row r="27" spans="1:12" ht="16.5" customHeight="1" x14ac:dyDescent="0.25">
      <c r="A27" s="1090"/>
      <c r="B27" s="1090"/>
      <c r="C27" s="799"/>
      <c r="D27" s="799"/>
      <c r="E27" s="799"/>
      <c r="F27" s="799"/>
      <c r="G27" s="799"/>
      <c r="H27" s="799"/>
      <c r="I27" s="799"/>
      <c r="J27" s="867"/>
    </row>
    <row r="28" spans="1:12" ht="16.5" customHeight="1" x14ac:dyDescent="0.25">
      <c r="A28" s="1090"/>
      <c r="B28" s="1090"/>
      <c r="C28" s="799"/>
      <c r="D28" s="799"/>
      <c r="E28" s="799"/>
      <c r="F28" s="799"/>
      <c r="G28" s="799"/>
      <c r="H28" s="799"/>
      <c r="I28" s="799"/>
      <c r="J28" s="867"/>
    </row>
    <row r="29" spans="1:12" ht="16.5" customHeight="1" x14ac:dyDescent="0.25">
      <c r="A29" s="1091"/>
      <c r="B29" s="1091"/>
      <c r="C29" s="840"/>
      <c r="D29" s="840"/>
      <c r="E29" s="799"/>
      <c r="F29" s="840"/>
      <c r="G29" s="840"/>
      <c r="H29" s="840"/>
      <c r="I29" s="840"/>
      <c r="J29" s="867"/>
    </row>
    <row r="30" spans="1:12" ht="16.5" customHeight="1" x14ac:dyDescent="0.25">
      <c r="A30" s="1091"/>
      <c r="B30" s="1091"/>
      <c r="C30" s="840"/>
      <c r="D30" s="840"/>
      <c r="E30" s="799"/>
      <c r="F30" s="840"/>
      <c r="G30" s="840"/>
      <c r="H30" s="840"/>
      <c r="I30" s="840"/>
      <c r="J30" s="867"/>
    </row>
    <row r="31" spans="1:12" ht="16.5" customHeight="1" x14ac:dyDescent="0.25">
      <c r="A31" s="1091"/>
      <c r="B31" s="1091"/>
      <c r="C31" s="840"/>
      <c r="D31" s="840"/>
      <c r="E31" s="799"/>
      <c r="F31" s="840"/>
      <c r="G31" s="840"/>
      <c r="H31" s="840"/>
      <c r="I31" s="840"/>
      <c r="J31" s="867"/>
    </row>
    <row r="32" spans="1:12" ht="16.5" customHeight="1" x14ac:dyDescent="0.25">
      <c r="A32" s="1091"/>
      <c r="B32" s="1091"/>
      <c r="C32" s="840"/>
      <c r="D32" s="840"/>
      <c r="E32" s="799"/>
      <c r="F32" s="840"/>
      <c r="G32" s="840"/>
      <c r="H32" s="840"/>
      <c r="I32" s="840"/>
      <c r="J32" s="867"/>
    </row>
    <row r="33" spans="1:10" ht="16.5" customHeight="1" x14ac:dyDescent="0.25">
      <c r="A33" s="1091"/>
      <c r="B33" s="1091"/>
      <c r="C33" s="840"/>
      <c r="D33" s="840"/>
      <c r="E33" s="799"/>
      <c r="F33" s="840"/>
      <c r="G33" s="840"/>
      <c r="H33" s="840"/>
      <c r="I33" s="840"/>
      <c r="J33" s="867"/>
    </row>
    <row r="34" spans="1:10" ht="16.5" customHeight="1" x14ac:dyDescent="0.25">
      <c r="A34" s="1091"/>
      <c r="B34" s="1091"/>
      <c r="C34" s="840"/>
      <c r="D34" s="840"/>
      <c r="E34" s="799"/>
      <c r="F34" s="840"/>
      <c r="G34" s="840"/>
      <c r="H34" s="840"/>
      <c r="I34" s="840"/>
      <c r="J34" s="867"/>
    </row>
    <row r="35" spans="1:10" ht="16.5" customHeight="1" x14ac:dyDescent="0.25">
      <c r="A35" s="1091"/>
      <c r="B35" s="1091"/>
      <c r="C35" s="840"/>
      <c r="D35" s="840"/>
      <c r="E35" s="799"/>
      <c r="F35" s="840"/>
      <c r="G35" s="840"/>
      <c r="H35" s="840"/>
      <c r="I35" s="840"/>
      <c r="J35" s="867"/>
    </row>
    <row r="36" spans="1:10" ht="16.5" customHeight="1" x14ac:dyDescent="0.25">
      <c r="A36" s="1091"/>
      <c r="B36" s="1091"/>
      <c r="C36" s="840"/>
      <c r="D36" s="840"/>
      <c r="E36" s="799"/>
      <c r="F36" s="840"/>
      <c r="G36" s="840"/>
      <c r="H36" s="840"/>
      <c r="I36" s="840"/>
      <c r="J36" s="867"/>
    </row>
    <row r="37" spans="1:10" ht="16.5" customHeight="1" x14ac:dyDescent="0.25">
      <c r="A37" s="1091"/>
      <c r="B37" s="1091"/>
      <c r="C37" s="840"/>
      <c r="D37" s="840"/>
      <c r="E37" s="799"/>
      <c r="F37" s="840"/>
      <c r="G37" s="840"/>
      <c r="H37" s="840"/>
      <c r="I37" s="840"/>
      <c r="J37" s="867"/>
    </row>
    <row r="38" spans="1:10" ht="16.5" customHeight="1" x14ac:dyDescent="0.25">
      <c r="A38" s="1091"/>
      <c r="B38" s="1091"/>
      <c r="C38" s="840"/>
      <c r="D38" s="840"/>
      <c r="E38" s="799"/>
      <c r="F38" s="840"/>
      <c r="G38" s="840"/>
      <c r="H38" s="840"/>
      <c r="I38" s="840"/>
      <c r="J38" s="867"/>
    </row>
    <row r="39" spans="1:10" ht="16.5" customHeight="1" x14ac:dyDescent="0.25">
      <c r="A39" s="1091"/>
      <c r="B39" s="1091"/>
      <c r="C39" s="840"/>
      <c r="D39" s="840"/>
      <c r="E39" s="799"/>
      <c r="F39" s="840"/>
      <c r="G39" s="840"/>
      <c r="H39" s="840"/>
      <c r="I39" s="840"/>
      <c r="J39" s="867"/>
    </row>
    <row r="40" spans="1:10" ht="16.5" customHeight="1" x14ac:dyDescent="0.25">
      <c r="A40" s="1091"/>
      <c r="B40" s="1091"/>
      <c r="C40" s="840"/>
      <c r="D40" s="840"/>
      <c r="E40" s="799"/>
      <c r="F40" s="840"/>
      <c r="G40" s="840"/>
      <c r="H40" s="840"/>
      <c r="I40" s="840"/>
      <c r="J40" s="867"/>
    </row>
    <row r="41" spans="1:10" ht="16.5" customHeight="1" x14ac:dyDescent="0.25">
      <c r="A41" s="1091"/>
      <c r="B41" s="1091"/>
      <c r="C41" s="840"/>
      <c r="D41" s="840"/>
      <c r="E41" s="799"/>
      <c r="F41" s="840"/>
      <c r="G41" s="840"/>
      <c r="H41" s="840"/>
      <c r="I41" s="840"/>
      <c r="J41" s="867"/>
    </row>
    <row r="42" spans="1:10" ht="16.5" customHeight="1" x14ac:dyDescent="0.25">
      <c r="A42" s="1091"/>
      <c r="B42" s="1091"/>
      <c r="C42" s="840"/>
      <c r="D42" s="840"/>
      <c r="E42" s="799"/>
      <c r="F42" s="840"/>
      <c r="G42" s="840"/>
      <c r="H42" s="840"/>
      <c r="I42" s="840"/>
      <c r="J42" s="867"/>
    </row>
    <row r="43" spans="1:10" ht="16.5" customHeight="1" x14ac:dyDescent="0.25">
      <c r="A43" s="1091"/>
      <c r="B43" s="1091"/>
      <c r="C43" s="840"/>
      <c r="D43" s="840"/>
      <c r="E43" s="799"/>
      <c r="F43" s="840"/>
      <c r="G43" s="840"/>
      <c r="H43" s="840"/>
      <c r="I43" s="840"/>
      <c r="J43" s="867"/>
    </row>
    <row r="44" spans="1:10" ht="16.5" customHeight="1" x14ac:dyDescent="0.25">
      <c r="A44" s="1091"/>
      <c r="B44" s="1091"/>
      <c r="C44" s="840"/>
      <c r="D44" s="840"/>
      <c r="E44" s="799"/>
      <c r="F44" s="840"/>
      <c r="G44" s="840"/>
      <c r="H44" s="840"/>
      <c r="I44" s="840"/>
      <c r="J44" s="867"/>
    </row>
    <row r="45" spans="1:10" ht="16.5" customHeight="1" x14ac:dyDescent="0.25">
      <c r="A45" s="1091"/>
      <c r="B45" s="1091"/>
      <c r="C45" s="840"/>
      <c r="D45" s="840"/>
      <c r="E45" s="799"/>
      <c r="F45" s="840"/>
      <c r="G45" s="840"/>
      <c r="H45" s="840"/>
      <c r="I45" s="840"/>
      <c r="J45" s="867"/>
    </row>
    <row r="46" spans="1:10" ht="16.5" customHeight="1" x14ac:dyDescent="0.25">
      <c r="A46" s="1091"/>
      <c r="B46" s="1091"/>
      <c r="C46" s="840"/>
      <c r="D46" s="840"/>
      <c r="E46" s="799"/>
      <c r="F46" s="840"/>
      <c r="G46" s="840"/>
      <c r="H46" s="840"/>
      <c r="I46" s="840"/>
      <c r="J46" s="867"/>
    </row>
    <row r="47" spans="1:10" ht="16.5" customHeight="1" x14ac:dyDescent="0.25">
      <c r="A47" s="1091"/>
      <c r="B47" s="1091"/>
      <c r="C47" s="840"/>
      <c r="D47" s="840"/>
      <c r="E47" s="799"/>
      <c r="F47" s="840"/>
      <c r="G47" s="840"/>
      <c r="H47" s="840"/>
      <c r="I47" s="840"/>
      <c r="J47" s="867"/>
    </row>
    <row r="48" spans="1:10" ht="16.5" customHeight="1" x14ac:dyDescent="0.25">
      <c r="A48" s="1091"/>
      <c r="B48" s="1091"/>
      <c r="C48" s="840"/>
      <c r="D48" s="840"/>
      <c r="E48" s="799"/>
      <c r="F48" s="840"/>
      <c r="G48" s="840"/>
      <c r="H48" s="840"/>
      <c r="I48" s="840"/>
      <c r="J48" s="867"/>
    </row>
    <row r="49" spans="1:12" ht="16.5" customHeight="1" x14ac:dyDescent="0.25">
      <c r="A49" s="1091"/>
      <c r="B49" s="1091"/>
      <c r="C49" s="840"/>
      <c r="D49" s="840"/>
      <c r="E49" s="799"/>
      <c r="F49" s="840"/>
      <c r="G49" s="840"/>
      <c r="H49" s="840"/>
      <c r="I49" s="840"/>
      <c r="J49" s="867"/>
    </row>
    <row r="50" spans="1:12" ht="31.5" customHeight="1" thickBot="1" x14ac:dyDescent="0.3">
      <c r="A50" s="1103" t="s">
        <v>1230</v>
      </c>
      <c r="B50" s="1103"/>
      <c r="C50" s="1103"/>
      <c r="D50" s="1103"/>
      <c r="E50" s="1103"/>
      <c r="F50" s="1103"/>
      <c r="G50" s="1103"/>
      <c r="H50" s="1103"/>
      <c r="I50" s="1103"/>
      <c r="J50" s="1103"/>
    </row>
    <row r="51" spans="1:12" ht="16.5" customHeight="1" thickBot="1" x14ac:dyDescent="0.3">
      <c r="A51" s="1086" t="s">
        <v>1221</v>
      </c>
      <c r="B51" s="1088"/>
      <c r="C51" s="771" t="s">
        <v>1222</v>
      </c>
      <c r="D51" s="295" t="s">
        <v>1223</v>
      </c>
      <c r="E51" s="295" t="s">
        <v>1224</v>
      </c>
      <c r="F51" s="295" t="s">
        <v>1225</v>
      </c>
      <c r="G51" s="295" t="s">
        <v>1226</v>
      </c>
      <c r="H51" s="295" t="s">
        <v>1227</v>
      </c>
      <c r="I51" s="295" t="s">
        <v>1228</v>
      </c>
      <c r="J51" s="295" t="s">
        <v>1229</v>
      </c>
    </row>
    <row r="52" spans="1:12" ht="16.5" customHeight="1" x14ac:dyDescent="0.25">
      <c r="A52" s="1089"/>
      <c r="B52" s="1089"/>
      <c r="C52" s="798"/>
      <c r="D52" s="798"/>
      <c r="E52" s="798"/>
      <c r="F52" s="845"/>
      <c r="G52" s="845"/>
      <c r="H52" s="798"/>
      <c r="I52" s="845"/>
      <c r="J52" s="847"/>
      <c r="L52">
        <f>IF(AND(NOT(ISBLANK(A52)),NOT(ISBLANK(C52)), NOT(ISBLANK(D52)), NOT(ISBLANK(E52)), NOT(ISBLANK(F52)), NOT(ISBLANK(G52)), NOT(ISBLANK(H52)), NOT(ISBLANK(I52)), NOT(ISBLANK(J52))), 1, 0)</f>
        <v>0</v>
      </c>
    </row>
    <row r="53" spans="1:12" ht="16.5" customHeight="1" x14ac:dyDescent="0.25">
      <c r="A53" s="1091"/>
      <c r="B53" s="1091"/>
      <c r="C53" s="799"/>
      <c r="D53" s="799"/>
      <c r="E53" s="799"/>
      <c r="F53" s="846"/>
      <c r="G53" s="846"/>
      <c r="H53" s="799"/>
      <c r="I53" s="846"/>
      <c r="J53" s="848"/>
    </row>
    <row r="54" spans="1:12" ht="16.5" customHeight="1" x14ac:dyDescent="0.25">
      <c r="A54" s="1091"/>
      <c r="B54" s="1091"/>
      <c r="C54" s="799"/>
      <c r="D54" s="799"/>
      <c r="E54" s="799"/>
      <c r="F54" s="846"/>
      <c r="G54" s="846"/>
      <c r="H54" s="799"/>
      <c r="I54" s="846"/>
      <c r="J54" s="848"/>
    </row>
    <row r="55" spans="1:12" ht="16.5" customHeight="1" x14ac:dyDescent="0.25">
      <c r="A55" s="1091"/>
      <c r="B55" s="1091"/>
      <c r="C55" s="799"/>
      <c r="D55" s="799"/>
      <c r="E55" s="799"/>
      <c r="F55" s="846"/>
      <c r="G55" s="846"/>
      <c r="H55" s="799"/>
      <c r="I55" s="846"/>
      <c r="J55" s="848"/>
    </row>
    <row r="56" spans="1:12" ht="16.5" customHeight="1" x14ac:dyDescent="0.25">
      <c r="A56" s="1104"/>
      <c r="B56" s="1104"/>
      <c r="C56" s="857"/>
      <c r="D56" s="857"/>
      <c r="E56" s="857"/>
      <c r="F56" s="858"/>
      <c r="G56" s="858"/>
      <c r="H56" s="857"/>
      <c r="I56" s="858"/>
      <c r="J56" s="859"/>
    </row>
    <row r="57" spans="1:12" ht="16.5" customHeight="1" x14ac:dyDescent="0.25">
      <c r="A57" s="1091"/>
      <c r="B57" s="1091"/>
      <c r="C57" s="840"/>
      <c r="D57" s="840"/>
      <c r="E57" s="799"/>
      <c r="F57" s="846"/>
      <c r="G57" s="846"/>
      <c r="H57" s="840"/>
      <c r="I57" s="846"/>
      <c r="J57" s="848"/>
    </row>
    <row r="58" spans="1:12" ht="16.5" customHeight="1" x14ac:dyDescent="0.25">
      <c r="A58" s="1091"/>
      <c r="B58" s="1091"/>
      <c r="C58" s="840"/>
      <c r="D58" s="840"/>
      <c r="E58" s="799"/>
      <c r="F58" s="846"/>
      <c r="G58" s="846"/>
      <c r="H58" s="840"/>
      <c r="I58" s="846"/>
      <c r="J58" s="848"/>
    </row>
    <row r="59" spans="1:12" ht="16.5" customHeight="1" x14ac:dyDescent="0.25">
      <c r="A59" s="1091"/>
      <c r="B59" s="1091"/>
      <c r="C59" s="840"/>
      <c r="D59" s="840"/>
      <c r="E59" s="799"/>
      <c r="F59" s="846"/>
      <c r="G59" s="846"/>
      <c r="H59" s="840"/>
      <c r="I59" s="846"/>
      <c r="J59" s="848"/>
    </row>
    <row r="60" spans="1:12" ht="16.5" customHeight="1" x14ac:dyDescent="0.25">
      <c r="A60" s="1091"/>
      <c r="B60" s="1091"/>
      <c r="C60" s="840"/>
      <c r="D60" s="840"/>
      <c r="E60" s="799"/>
      <c r="F60" s="846"/>
      <c r="G60" s="846"/>
      <c r="H60" s="840"/>
      <c r="I60" s="846"/>
      <c r="J60" s="848"/>
    </row>
    <row r="61" spans="1:12" ht="16.5" customHeight="1" x14ac:dyDescent="0.25">
      <c r="A61" s="1091"/>
      <c r="B61" s="1091"/>
      <c r="C61" s="840"/>
      <c r="D61" s="840"/>
      <c r="E61" s="799"/>
      <c r="F61" s="846"/>
      <c r="G61" s="846"/>
      <c r="H61" s="840"/>
      <c r="I61" s="846"/>
      <c r="J61" s="848"/>
    </row>
    <row r="62" spans="1:12" ht="16.5" customHeight="1" x14ac:dyDescent="0.25">
      <c r="A62" s="1091"/>
      <c r="B62" s="1091"/>
      <c r="C62" s="840"/>
      <c r="D62" s="840"/>
      <c r="E62" s="799"/>
      <c r="F62" s="846"/>
      <c r="G62" s="846"/>
      <c r="H62" s="840"/>
      <c r="I62" s="846"/>
      <c r="J62" s="848"/>
    </row>
    <row r="63" spans="1:12" ht="16.5" customHeight="1" x14ac:dyDescent="0.25">
      <c r="A63" s="1091"/>
      <c r="B63" s="1091"/>
      <c r="C63" s="840"/>
      <c r="D63" s="840"/>
      <c r="E63" s="799"/>
      <c r="F63" s="846"/>
      <c r="G63" s="846"/>
      <c r="H63" s="840"/>
      <c r="I63" s="846"/>
      <c r="J63" s="848"/>
    </row>
    <row r="64" spans="1:12" ht="16.5" customHeight="1" x14ac:dyDescent="0.25">
      <c r="A64" s="1091"/>
      <c r="B64" s="1091"/>
      <c r="C64" s="840"/>
      <c r="D64" s="840"/>
      <c r="E64" s="799"/>
      <c r="F64" s="846"/>
      <c r="G64" s="846"/>
      <c r="H64" s="840"/>
      <c r="I64" s="846"/>
      <c r="J64" s="848"/>
    </row>
    <row r="65" spans="1:12" ht="16.5" customHeight="1" x14ac:dyDescent="0.25">
      <c r="A65" s="1091"/>
      <c r="B65" s="1091"/>
      <c r="C65" s="840"/>
      <c r="D65" s="840"/>
      <c r="E65" s="799"/>
      <c r="F65" s="846"/>
      <c r="G65" s="846"/>
      <c r="H65" s="840"/>
      <c r="I65" s="846"/>
      <c r="J65" s="848"/>
    </row>
    <row r="66" spans="1:12" ht="16.5" customHeight="1" x14ac:dyDescent="0.25">
      <c r="A66" s="1091"/>
      <c r="B66" s="1091"/>
      <c r="C66" s="840"/>
      <c r="D66" s="840"/>
      <c r="E66" s="799"/>
      <c r="F66" s="846"/>
      <c r="G66" s="846"/>
      <c r="H66" s="840"/>
      <c r="I66" s="846"/>
      <c r="J66" s="848"/>
    </row>
    <row r="67" spans="1:12" ht="16.5" customHeight="1" x14ac:dyDescent="0.25">
      <c r="A67" s="1091"/>
      <c r="B67" s="1091"/>
      <c r="C67" s="840"/>
      <c r="D67" s="840"/>
      <c r="E67" s="799"/>
      <c r="F67" s="846"/>
      <c r="G67" s="846"/>
      <c r="H67" s="840"/>
      <c r="I67" s="846"/>
      <c r="J67" s="848"/>
    </row>
    <row r="68" spans="1:12" ht="16.5" customHeight="1" x14ac:dyDescent="0.25">
      <c r="A68" s="1091"/>
      <c r="B68" s="1091"/>
      <c r="C68" s="840"/>
      <c r="D68" s="840"/>
      <c r="E68" s="799"/>
      <c r="F68" s="846"/>
      <c r="G68" s="846"/>
      <c r="H68" s="840"/>
      <c r="I68" s="846"/>
      <c r="J68" s="848"/>
    </row>
    <row r="69" spans="1:12" ht="16.5" customHeight="1" x14ac:dyDescent="0.25">
      <c r="A69" s="1091"/>
      <c r="B69" s="1091"/>
      <c r="C69" s="840"/>
      <c r="D69" s="840"/>
      <c r="E69" s="799"/>
      <c r="F69" s="846"/>
      <c r="G69" s="846"/>
      <c r="H69" s="840"/>
      <c r="I69" s="846"/>
      <c r="J69" s="848"/>
    </row>
    <row r="70" spans="1:12" ht="16.5" customHeight="1" x14ac:dyDescent="0.25">
      <c r="A70" s="1091"/>
      <c r="B70" s="1091"/>
      <c r="C70" s="840"/>
      <c r="D70" s="840"/>
      <c r="E70" s="799"/>
      <c r="F70" s="846"/>
      <c r="G70" s="846"/>
      <c r="H70" s="840"/>
      <c r="I70" s="846"/>
      <c r="J70" s="848"/>
    </row>
    <row r="71" spans="1:12" ht="16.5" customHeight="1" x14ac:dyDescent="0.25">
      <c r="A71" s="1091"/>
      <c r="B71" s="1091"/>
      <c r="C71" s="840"/>
      <c r="D71" s="840"/>
      <c r="E71" s="799"/>
      <c r="F71" s="846"/>
      <c r="G71" s="846"/>
      <c r="H71" s="840"/>
      <c r="I71" s="846"/>
      <c r="J71" s="848"/>
    </row>
    <row r="72" spans="1:12" ht="16.5" customHeight="1" x14ac:dyDescent="0.25">
      <c r="A72" s="1091"/>
      <c r="B72" s="1091"/>
      <c r="C72" s="840"/>
      <c r="D72" s="840"/>
      <c r="E72" s="799"/>
      <c r="F72" s="846"/>
      <c r="G72" s="846"/>
      <c r="H72" s="840"/>
      <c r="I72" s="846"/>
      <c r="J72" s="848"/>
    </row>
    <row r="73" spans="1:12" ht="16.5" customHeight="1" x14ac:dyDescent="0.25">
      <c r="A73" s="1091"/>
      <c r="B73" s="1091"/>
      <c r="C73" s="840"/>
      <c r="D73" s="840"/>
      <c r="E73" s="799"/>
      <c r="F73" s="846"/>
      <c r="G73" s="846"/>
      <c r="H73" s="840"/>
      <c r="I73" s="846"/>
      <c r="J73" s="848"/>
    </row>
    <row r="74" spans="1:12" ht="16.5" customHeight="1" x14ac:dyDescent="0.25">
      <c r="A74" s="1091"/>
      <c r="B74" s="1091"/>
      <c r="C74" s="840"/>
      <c r="D74" s="840"/>
      <c r="E74" s="799"/>
      <c r="F74" s="846"/>
      <c r="G74" s="846"/>
      <c r="H74" s="840"/>
      <c r="I74" s="846"/>
      <c r="J74" s="848"/>
    </row>
    <row r="75" spans="1:12" ht="16.5" customHeight="1" x14ac:dyDescent="0.25">
      <c r="A75" s="1091"/>
      <c r="B75" s="1091"/>
      <c r="C75" s="840"/>
      <c r="D75" s="840"/>
      <c r="E75" s="799"/>
      <c r="F75" s="846"/>
      <c r="G75" s="846"/>
      <c r="H75" s="840"/>
      <c r="I75" s="846"/>
      <c r="J75" s="848"/>
    </row>
    <row r="76" spans="1:12" ht="16.5" customHeight="1" thickBot="1" x14ac:dyDescent="0.3">
      <c r="A76" s="1091"/>
      <c r="B76" s="1091"/>
      <c r="C76" s="840"/>
      <c r="D76" s="840"/>
      <c r="E76" s="799"/>
      <c r="F76" s="846"/>
      <c r="G76" s="846"/>
      <c r="H76" s="840"/>
      <c r="I76" s="846"/>
      <c r="J76" s="848"/>
    </row>
    <row r="77" spans="1:12" ht="52.5" customHeight="1" thickBot="1" x14ac:dyDescent="0.3">
      <c r="A77" s="1101" t="s">
        <v>1231</v>
      </c>
      <c r="B77" s="1101"/>
      <c r="C77" s="1101"/>
      <c r="D77" s="1101"/>
      <c r="E77" s="1101"/>
      <c r="F77" s="1101"/>
      <c r="G77" s="1101"/>
      <c r="H77" s="1101"/>
      <c r="I77" s="1101"/>
      <c r="J77" s="1101"/>
    </row>
    <row r="78" spans="1:12" ht="15.75" thickBot="1" x14ac:dyDescent="0.3">
      <c r="A78" s="1086" t="s">
        <v>1221</v>
      </c>
      <c r="B78" s="1088"/>
      <c r="C78" s="771" t="s">
        <v>1222</v>
      </c>
      <c r="D78" s="295" t="s">
        <v>1223</v>
      </c>
      <c r="E78" s="295" t="s">
        <v>1224</v>
      </c>
      <c r="F78" s="295" t="s">
        <v>1225</v>
      </c>
      <c r="G78" s="295" t="s">
        <v>1226</v>
      </c>
      <c r="H78" s="295" t="s">
        <v>1227</v>
      </c>
      <c r="I78" s="295" t="s">
        <v>1228</v>
      </c>
      <c r="J78" s="295" t="s">
        <v>1229</v>
      </c>
    </row>
    <row r="79" spans="1:12" x14ac:dyDescent="0.25">
      <c r="A79" s="1087"/>
      <c r="B79" s="1087"/>
      <c r="C79" s="798"/>
      <c r="D79" s="798"/>
      <c r="E79" s="798"/>
      <c r="F79" s="850"/>
      <c r="G79" s="850"/>
      <c r="H79" s="798"/>
      <c r="I79" s="850"/>
      <c r="J79" s="847"/>
      <c r="L79">
        <f>IF(AND(NOT(ISBLANK(A79)),NOT(ISBLANK(C79)), NOT(ISBLANK(D79)), NOT(ISBLANK(E79)), NOT(ISBLANK(F79)), NOT(ISBLANK(G79)), NOT(ISBLANK(H79)), NOT(ISBLANK(I79)), NOT(ISBLANK(J79))), 1, 0)</f>
        <v>0</v>
      </c>
    </row>
    <row r="80" spans="1:12" x14ac:dyDescent="0.25">
      <c r="A80" s="1090"/>
      <c r="B80" s="1090"/>
      <c r="C80" s="799"/>
      <c r="D80" s="799"/>
      <c r="E80" s="799"/>
      <c r="F80" s="851"/>
      <c r="G80" s="851"/>
      <c r="H80" s="799"/>
      <c r="I80" s="851"/>
      <c r="J80" s="848"/>
    </row>
    <row r="81" spans="1:10" x14ac:dyDescent="0.25">
      <c r="A81" s="1092"/>
      <c r="B81" s="1093"/>
      <c r="C81" s="799"/>
      <c r="D81" s="799"/>
      <c r="E81" s="799"/>
      <c r="F81" s="851"/>
      <c r="G81" s="851"/>
      <c r="H81" s="799"/>
      <c r="I81" s="851"/>
      <c r="J81" s="848"/>
    </row>
    <row r="82" spans="1:10" x14ac:dyDescent="0.25">
      <c r="A82" s="1090"/>
      <c r="B82" s="1090"/>
      <c r="C82" s="799"/>
      <c r="D82" s="799"/>
      <c r="E82" s="799"/>
      <c r="F82" s="851"/>
      <c r="G82" s="851"/>
      <c r="H82" s="799"/>
      <c r="I82" s="851"/>
      <c r="J82" s="848"/>
    </row>
    <row r="83" spans="1:10" x14ac:dyDescent="0.25">
      <c r="A83" s="1091"/>
      <c r="B83" s="1094"/>
      <c r="C83" s="799"/>
      <c r="D83" s="799"/>
      <c r="E83" s="799"/>
      <c r="F83" s="840"/>
      <c r="G83" s="840"/>
      <c r="H83" s="799"/>
      <c r="I83" s="840"/>
      <c r="J83" s="848"/>
    </row>
    <row r="84" spans="1:10" x14ac:dyDescent="0.25">
      <c r="A84" s="1091"/>
      <c r="B84" s="1091"/>
      <c r="C84" s="862"/>
      <c r="D84" s="862"/>
      <c r="E84" s="798"/>
      <c r="F84" s="850"/>
      <c r="G84" s="850"/>
      <c r="H84" s="862"/>
      <c r="I84" s="850"/>
      <c r="J84" s="848"/>
    </row>
    <row r="85" spans="1:10" x14ac:dyDescent="0.25">
      <c r="A85" s="1091"/>
      <c r="B85" s="1091"/>
      <c r="C85" s="840"/>
      <c r="D85" s="840"/>
      <c r="E85" s="799"/>
      <c r="F85" s="851"/>
      <c r="G85" s="851"/>
      <c r="H85" s="840"/>
      <c r="I85" s="851"/>
      <c r="J85" s="848"/>
    </row>
    <row r="86" spans="1:10" x14ac:dyDescent="0.25">
      <c r="A86" s="1091"/>
      <c r="B86" s="1091"/>
      <c r="C86" s="840"/>
      <c r="D86" s="840"/>
      <c r="E86" s="799"/>
      <c r="F86" s="851"/>
      <c r="G86" s="851"/>
      <c r="H86" s="840"/>
      <c r="I86" s="851"/>
      <c r="J86" s="848"/>
    </row>
    <row r="87" spans="1:10" x14ac:dyDescent="0.25">
      <c r="A87" s="1091"/>
      <c r="B87" s="1091"/>
      <c r="C87" s="840"/>
      <c r="D87" s="840"/>
      <c r="E87" s="799"/>
      <c r="F87" s="851"/>
      <c r="G87" s="851"/>
      <c r="H87" s="840"/>
      <c r="I87" s="851"/>
      <c r="J87" s="848"/>
    </row>
    <row r="88" spans="1:10" x14ac:dyDescent="0.25">
      <c r="A88" s="1091"/>
      <c r="B88" s="1091"/>
      <c r="C88" s="840"/>
      <c r="D88" s="840"/>
      <c r="E88" s="799"/>
      <c r="F88" s="851"/>
      <c r="G88" s="851"/>
      <c r="H88" s="840"/>
      <c r="I88" s="851"/>
      <c r="J88" s="848"/>
    </row>
    <row r="89" spans="1:10" x14ac:dyDescent="0.25">
      <c r="A89" s="1091"/>
      <c r="B89" s="1091"/>
      <c r="C89" s="840"/>
      <c r="D89" s="840"/>
      <c r="E89" s="799"/>
      <c r="F89" s="851"/>
      <c r="G89" s="851"/>
      <c r="H89" s="840"/>
      <c r="I89" s="851"/>
      <c r="J89" s="848"/>
    </row>
    <row r="90" spans="1:10" x14ac:dyDescent="0.25">
      <c r="A90" s="1091"/>
      <c r="B90" s="1091"/>
      <c r="C90" s="840"/>
      <c r="D90" s="840"/>
      <c r="E90" s="799"/>
      <c r="F90" s="851"/>
      <c r="G90" s="851"/>
      <c r="H90" s="840"/>
      <c r="I90" s="851"/>
      <c r="J90" s="848"/>
    </row>
    <row r="91" spans="1:10" x14ac:dyDescent="0.25">
      <c r="A91" s="1091"/>
      <c r="B91" s="1091"/>
      <c r="C91" s="840"/>
      <c r="D91" s="840"/>
      <c r="E91" s="799"/>
      <c r="F91" s="851"/>
      <c r="G91" s="851"/>
      <c r="H91" s="840"/>
      <c r="I91" s="851"/>
      <c r="J91" s="848"/>
    </row>
    <row r="92" spans="1:10" x14ac:dyDescent="0.25">
      <c r="A92" s="1091"/>
      <c r="B92" s="1091"/>
      <c r="C92" s="840"/>
      <c r="D92" s="840"/>
      <c r="E92" s="799"/>
      <c r="F92" s="851"/>
      <c r="G92" s="851"/>
      <c r="H92" s="840"/>
      <c r="I92" s="851"/>
      <c r="J92" s="848"/>
    </row>
    <row r="93" spans="1:10" x14ac:dyDescent="0.25">
      <c r="A93" s="1091"/>
      <c r="B93" s="1091"/>
      <c r="C93" s="840"/>
      <c r="D93" s="840"/>
      <c r="E93" s="799"/>
      <c r="F93" s="851"/>
      <c r="G93" s="851"/>
      <c r="H93" s="840"/>
      <c r="I93" s="851"/>
      <c r="J93" s="848"/>
    </row>
    <row r="94" spans="1:10" x14ac:dyDescent="0.25">
      <c r="A94" s="1091"/>
      <c r="B94" s="1091"/>
      <c r="C94" s="840"/>
      <c r="D94" s="840"/>
      <c r="E94" s="799"/>
      <c r="F94" s="851"/>
      <c r="G94" s="851"/>
      <c r="H94" s="840"/>
      <c r="I94" s="851"/>
      <c r="J94" s="848"/>
    </row>
    <row r="95" spans="1:10" x14ac:dyDescent="0.25">
      <c r="A95" s="1091"/>
      <c r="B95" s="1091"/>
      <c r="C95" s="840"/>
      <c r="D95" s="840"/>
      <c r="E95" s="799"/>
      <c r="F95" s="851"/>
      <c r="G95" s="851"/>
      <c r="H95" s="840"/>
      <c r="I95" s="851"/>
      <c r="J95" s="848"/>
    </row>
    <row r="96" spans="1:10" x14ac:dyDescent="0.25">
      <c r="A96" s="1091"/>
      <c r="B96" s="1091"/>
      <c r="C96" s="840"/>
      <c r="D96" s="840"/>
      <c r="E96" s="799"/>
      <c r="F96" s="851"/>
      <c r="G96" s="851"/>
      <c r="H96" s="840"/>
      <c r="I96" s="851"/>
      <c r="J96" s="848"/>
    </row>
    <row r="97" spans="1:12" x14ac:dyDescent="0.25">
      <c r="A97" s="1091"/>
      <c r="B97" s="1091"/>
      <c r="C97" s="840"/>
      <c r="D97" s="840"/>
      <c r="E97" s="799"/>
      <c r="F97" s="851"/>
      <c r="G97" s="851"/>
      <c r="H97" s="840"/>
      <c r="I97" s="851"/>
      <c r="J97" s="848"/>
    </row>
    <row r="98" spans="1:12" x14ac:dyDescent="0.25">
      <c r="A98" s="1091"/>
      <c r="B98" s="1091"/>
      <c r="C98" s="840"/>
      <c r="D98" s="840"/>
      <c r="E98" s="799"/>
      <c r="F98" s="851"/>
      <c r="G98" s="851"/>
      <c r="H98" s="840"/>
      <c r="I98" s="851"/>
      <c r="J98" s="848"/>
    </row>
    <row r="99" spans="1:12" x14ac:dyDescent="0.25">
      <c r="A99" s="1091"/>
      <c r="B99" s="1091"/>
      <c r="C99" s="840"/>
      <c r="D99" s="840"/>
      <c r="E99" s="799"/>
      <c r="F99" s="851"/>
      <c r="G99" s="851"/>
      <c r="H99" s="840"/>
      <c r="I99" s="851"/>
      <c r="J99" s="848"/>
    </row>
    <row r="100" spans="1:12" x14ac:dyDescent="0.25">
      <c r="A100" s="1091"/>
      <c r="B100" s="1091"/>
      <c r="C100" s="840"/>
      <c r="D100" s="840"/>
      <c r="E100" s="799"/>
      <c r="F100" s="851"/>
      <c r="G100" s="851"/>
      <c r="H100" s="840"/>
      <c r="I100" s="851"/>
      <c r="J100" s="848"/>
    </row>
    <row r="101" spans="1:12" x14ac:dyDescent="0.25">
      <c r="A101" s="1091"/>
      <c r="B101" s="1091"/>
      <c r="C101" s="840"/>
      <c r="D101" s="840"/>
      <c r="E101" s="799"/>
      <c r="F101" s="851"/>
      <c r="G101" s="851"/>
      <c r="H101" s="840"/>
      <c r="I101" s="851"/>
      <c r="J101" s="848"/>
    </row>
    <row r="102" spans="1:12" x14ac:dyDescent="0.25">
      <c r="A102" s="1091"/>
      <c r="B102" s="1091"/>
      <c r="C102" s="840"/>
      <c r="D102" s="840"/>
      <c r="E102" s="799"/>
      <c r="F102" s="851"/>
      <c r="G102" s="851"/>
      <c r="H102" s="840"/>
      <c r="I102" s="851"/>
      <c r="J102" s="848"/>
    </row>
    <row r="103" spans="1:12" ht="15.75" thickBot="1" x14ac:dyDescent="0.3">
      <c r="A103" s="1104"/>
      <c r="B103" s="1104"/>
      <c r="C103" s="861"/>
      <c r="D103" s="861"/>
      <c r="E103" s="857"/>
      <c r="F103" s="860"/>
      <c r="G103" s="860"/>
      <c r="H103" s="861"/>
      <c r="I103" s="860"/>
      <c r="J103" s="859"/>
    </row>
    <row r="104" spans="1:12" ht="33" customHeight="1" thickBot="1" x14ac:dyDescent="0.3">
      <c r="A104" s="1101" t="s">
        <v>1232</v>
      </c>
      <c r="B104" s="1101"/>
      <c r="C104" s="1101"/>
      <c r="D104" s="1101"/>
      <c r="E104" s="1101"/>
      <c r="F104" s="1101"/>
      <c r="G104" s="1101"/>
      <c r="H104" s="1101"/>
      <c r="I104" s="1101"/>
      <c r="J104" s="1102"/>
    </row>
    <row r="105" spans="1:12" ht="15.75" thickBot="1" x14ac:dyDescent="0.3">
      <c r="A105" s="1086" t="s">
        <v>1221</v>
      </c>
      <c r="B105" s="1086"/>
      <c r="C105" s="771" t="s">
        <v>1222</v>
      </c>
      <c r="D105" s="295" t="s">
        <v>1223</v>
      </c>
      <c r="E105" s="295" t="s">
        <v>1224</v>
      </c>
      <c r="F105" s="295" t="s">
        <v>1225</v>
      </c>
      <c r="G105" s="295" t="s">
        <v>1226</v>
      </c>
      <c r="H105" s="295" t="s">
        <v>1227</v>
      </c>
      <c r="I105" s="295" t="s">
        <v>1228</v>
      </c>
      <c r="J105" s="295" t="s">
        <v>1229</v>
      </c>
    </row>
    <row r="106" spans="1:12" x14ac:dyDescent="0.25">
      <c r="A106" s="1087"/>
      <c r="B106" s="1087"/>
      <c r="C106" s="798"/>
      <c r="D106" s="798"/>
      <c r="E106" s="798"/>
      <c r="F106" s="850"/>
      <c r="G106" s="850"/>
      <c r="H106" s="798"/>
      <c r="I106" s="850"/>
      <c r="J106" s="847"/>
      <c r="L106">
        <f>IF(AND(NOT(ISBLANK(A106)),NOT(ISBLANK(C106)), NOT(ISBLANK(D106)), NOT(ISBLANK(E106)), NOT(ISBLANK(F106)), NOT(ISBLANK(G106)), NOT(ISBLANK(H106)), NOT(ISBLANK(I106)), NOT(ISBLANK(J106))), 1, 0)</f>
        <v>0</v>
      </c>
    </row>
    <row r="107" spans="1:12" x14ac:dyDescent="0.25">
      <c r="A107" s="1090"/>
      <c r="B107" s="1090"/>
      <c r="C107" s="799"/>
      <c r="D107" s="799"/>
      <c r="E107" s="799"/>
      <c r="F107" s="851"/>
      <c r="G107" s="851"/>
      <c r="H107" s="799"/>
      <c r="I107" s="851"/>
      <c r="J107" s="848"/>
    </row>
    <row r="108" spans="1:12" x14ac:dyDescent="0.25">
      <c r="A108" s="1090"/>
      <c r="B108" s="1090"/>
      <c r="C108" s="799"/>
      <c r="D108" s="799"/>
      <c r="E108" s="799"/>
      <c r="F108" s="851"/>
      <c r="G108" s="851"/>
      <c r="H108" s="799"/>
      <c r="I108" s="851"/>
      <c r="J108" s="848"/>
    </row>
    <row r="109" spans="1:12" x14ac:dyDescent="0.25">
      <c r="A109" s="1090"/>
      <c r="B109" s="1090"/>
      <c r="C109" s="799"/>
      <c r="D109" s="799"/>
      <c r="E109" s="799"/>
      <c r="F109" s="851"/>
      <c r="G109" s="851"/>
      <c r="H109" s="799"/>
      <c r="I109" s="851"/>
      <c r="J109" s="848"/>
    </row>
    <row r="110" spans="1:12" x14ac:dyDescent="0.25">
      <c r="A110" s="1091"/>
      <c r="B110" s="1098"/>
      <c r="C110" s="840"/>
      <c r="D110" s="840"/>
      <c r="E110" s="799"/>
      <c r="F110" s="851"/>
      <c r="G110" s="851"/>
      <c r="H110" s="840"/>
      <c r="I110" s="851"/>
      <c r="J110" s="848"/>
    </row>
    <row r="111" spans="1:12" x14ac:dyDescent="0.25">
      <c r="A111" s="1091"/>
      <c r="B111" s="1098"/>
      <c r="C111" s="840"/>
      <c r="D111" s="840"/>
      <c r="E111" s="799"/>
      <c r="F111" s="851"/>
      <c r="G111" s="851"/>
      <c r="H111" s="840"/>
      <c r="I111" s="851"/>
      <c r="J111" s="848"/>
    </row>
    <row r="112" spans="1:12" x14ac:dyDescent="0.25">
      <c r="A112" s="1091"/>
      <c r="B112" s="1098"/>
      <c r="C112" s="840"/>
      <c r="D112" s="840"/>
      <c r="E112" s="799"/>
      <c r="F112" s="851"/>
      <c r="G112" s="851"/>
      <c r="H112" s="840"/>
      <c r="I112" s="851"/>
      <c r="J112" s="848"/>
    </row>
    <row r="113" spans="1:10" x14ac:dyDescent="0.25">
      <c r="A113" s="1091"/>
      <c r="B113" s="1098"/>
      <c r="C113" s="840"/>
      <c r="D113" s="840"/>
      <c r="E113" s="799"/>
      <c r="F113" s="851"/>
      <c r="G113" s="851"/>
      <c r="H113" s="840"/>
      <c r="I113" s="851"/>
      <c r="J113" s="848"/>
    </row>
    <row r="114" spans="1:10" x14ac:dyDescent="0.25">
      <c r="A114" s="1091"/>
      <c r="B114" s="1098"/>
      <c r="C114" s="840"/>
      <c r="D114" s="840"/>
      <c r="E114" s="799"/>
      <c r="F114" s="851"/>
      <c r="G114" s="851"/>
      <c r="H114" s="840"/>
      <c r="I114" s="851"/>
      <c r="J114" s="848"/>
    </row>
    <row r="115" spans="1:10" x14ac:dyDescent="0.25">
      <c r="A115" s="1091"/>
      <c r="B115" s="1098"/>
      <c r="C115" s="840"/>
      <c r="D115" s="840"/>
      <c r="E115" s="799"/>
      <c r="F115" s="851"/>
      <c r="G115" s="851"/>
      <c r="H115" s="840"/>
      <c r="I115" s="851"/>
      <c r="J115" s="848"/>
    </row>
    <row r="116" spans="1:10" x14ac:dyDescent="0.25">
      <c r="A116" s="1091"/>
      <c r="B116" s="1098"/>
      <c r="C116" s="840"/>
      <c r="D116" s="840"/>
      <c r="E116" s="799"/>
      <c r="F116" s="851"/>
      <c r="G116" s="851"/>
      <c r="H116" s="840"/>
      <c r="I116" s="851"/>
      <c r="J116" s="848"/>
    </row>
    <row r="117" spans="1:10" x14ac:dyDescent="0.25">
      <c r="A117" s="1091"/>
      <c r="B117" s="1098"/>
      <c r="C117" s="840"/>
      <c r="D117" s="840"/>
      <c r="E117" s="799"/>
      <c r="F117" s="851"/>
      <c r="G117" s="851"/>
      <c r="H117" s="840"/>
      <c r="I117" s="851"/>
      <c r="J117" s="848"/>
    </row>
    <row r="118" spans="1:10" x14ac:dyDescent="0.25">
      <c r="A118" s="1091"/>
      <c r="B118" s="1098"/>
      <c r="C118" s="840"/>
      <c r="D118" s="840"/>
      <c r="E118" s="799"/>
      <c r="F118" s="851"/>
      <c r="G118" s="851"/>
      <c r="H118" s="840"/>
      <c r="I118" s="851"/>
      <c r="J118" s="848"/>
    </row>
    <row r="119" spans="1:10" x14ac:dyDescent="0.25">
      <c r="A119" s="1091"/>
      <c r="B119" s="1098"/>
      <c r="C119" s="840"/>
      <c r="D119" s="840"/>
      <c r="E119" s="799"/>
      <c r="F119" s="851"/>
      <c r="G119" s="851"/>
      <c r="H119" s="840"/>
      <c r="I119" s="851"/>
      <c r="J119" s="848"/>
    </row>
    <row r="120" spans="1:10" x14ac:dyDescent="0.25">
      <c r="A120" s="1091"/>
      <c r="B120" s="1098"/>
      <c r="C120" s="840"/>
      <c r="D120" s="840"/>
      <c r="E120" s="799"/>
      <c r="F120" s="851"/>
      <c r="G120" s="851"/>
      <c r="H120" s="840"/>
      <c r="I120" s="851"/>
      <c r="J120" s="848"/>
    </row>
    <row r="121" spans="1:10" x14ac:dyDescent="0.25">
      <c r="A121" s="1091"/>
      <c r="B121" s="1098"/>
      <c r="C121" s="840"/>
      <c r="D121" s="840"/>
      <c r="E121" s="799"/>
      <c r="F121" s="851"/>
      <c r="G121" s="851"/>
      <c r="H121" s="840"/>
      <c r="I121" s="851"/>
      <c r="J121" s="848"/>
    </row>
    <row r="122" spans="1:10" x14ac:dyDescent="0.25">
      <c r="A122" s="1091"/>
      <c r="B122" s="1098"/>
      <c r="C122" s="840"/>
      <c r="D122" s="840"/>
      <c r="E122" s="799"/>
      <c r="F122" s="851"/>
      <c r="G122" s="851"/>
      <c r="H122" s="840"/>
      <c r="I122" s="851"/>
      <c r="J122" s="848"/>
    </row>
    <row r="123" spans="1:10" x14ac:dyDescent="0.25">
      <c r="A123" s="1091"/>
      <c r="B123" s="1098"/>
      <c r="C123" s="840"/>
      <c r="D123" s="840"/>
      <c r="E123" s="799"/>
      <c r="F123" s="851"/>
      <c r="G123" s="851"/>
      <c r="H123" s="840"/>
      <c r="I123" s="851"/>
      <c r="J123" s="848"/>
    </row>
    <row r="124" spans="1:10" x14ac:dyDescent="0.25">
      <c r="A124" s="1091"/>
      <c r="B124" s="1098"/>
      <c r="C124" s="840"/>
      <c r="D124" s="840"/>
      <c r="E124" s="799"/>
      <c r="F124" s="851"/>
      <c r="G124" s="851"/>
      <c r="H124" s="840"/>
      <c r="I124" s="851"/>
      <c r="J124" s="848"/>
    </row>
    <row r="125" spans="1:10" x14ac:dyDescent="0.25">
      <c r="A125" s="1091"/>
      <c r="B125" s="1098"/>
      <c r="C125" s="840"/>
      <c r="D125" s="840"/>
      <c r="E125" s="799"/>
      <c r="F125" s="851"/>
      <c r="G125" s="851"/>
      <c r="H125" s="840"/>
      <c r="I125" s="851"/>
      <c r="J125" s="848"/>
    </row>
    <row r="126" spans="1:10" x14ac:dyDescent="0.25">
      <c r="A126" s="1091"/>
      <c r="B126" s="1098"/>
      <c r="C126" s="840"/>
      <c r="D126" s="840"/>
      <c r="E126" s="799"/>
      <c r="F126" s="851"/>
      <c r="G126" s="851"/>
      <c r="H126" s="840"/>
      <c r="I126" s="851"/>
      <c r="J126" s="848"/>
    </row>
    <row r="127" spans="1:10" x14ac:dyDescent="0.25">
      <c r="A127" s="1091"/>
      <c r="B127" s="1098"/>
      <c r="C127" s="840"/>
      <c r="D127" s="840"/>
      <c r="E127" s="799"/>
      <c r="F127" s="851"/>
      <c r="G127" s="851"/>
      <c r="H127" s="840"/>
      <c r="I127" s="851"/>
      <c r="J127" s="848"/>
    </row>
    <row r="128" spans="1:10" x14ac:dyDescent="0.25">
      <c r="A128" s="1091"/>
      <c r="B128" s="1098"/>
      <c r="C128" s="840"/>
      <c r="D128" s="840"/>
      <c r="E128" s="799"/>
      <c r="F128" s="851"/>
      <c r="G128" s="851"/>
      <c r="H128" s="840"/>
      <c r="I128" s="851"/>
      <c r="J128" s="848"/>
    </row>
    <row r="129" spans="1:10" x14ac:dyDescent="0.25">
      <c r="A129" s="1091"/>
      <c r="B129" s="1098"/>
      <c r="C129" s="840"/>
      <c r="D129" s="840"/>
      <c r="E129" s="799"/>
      <c r="F129" s="851"/>
      <c r="G129" s="851"/>
      <c r="H129" s="840"/>
      <c r="I129" s="851"/>
      <c r="J129" s="848"/>
    </row>
    <row r="130" spans="1:10" ht="15.75" thickBot="1" x14ac:dyDescent="0.3">
      <c r="A130" s="1105"/>
      <c r="B130" s="1106"/>
      <c r="C130" s="841"/>
      <c r="D130" s="841"/>
      <c r="E130" s="844"/>
      <c r="F130" s="852"/>
      <c r="G130" s="852"/>
      <c r="H130" s="841"/>
      <c r="I130" s="852"/>
      <c r="J130" s="849"/>
    </row>
    <row r="131" spans="1:10" x14ac:dyDescent="0.25">
      <c r="A131" s="292"/>
      <c r="B131" s="292"/>
      <c r="C131" s="291"/>
      <c r="D131" s="291"/>
    </row>
    <row r="132" spans="1:10" ht="21" x14ac:dyDescent="0.35">
      <c r="A132" s="1056" t="s">
        <v>117</v>
      </c>
      <c r="B132" s="1056"/>
    </row>
    <row r="133" spans="1:10" ht="15.75" thickBot="1" x14ac:dyDescent="0.3"/>
    <row r="134" spans="1:10" ht="15.75" thickBot="1" x14ac:dyDescent="0.3">
      <c r="A134" s="183" t="s">
        <v>148</v>
      </c>
      <c r="B134" s="863" t="s">
        <v>149</v>
      </c>
      <c r="C134" s="276" t="s">
        <v>34</v>
      </c>
    </row>
    <row r="135" spans="1:10" ht="30" x14ac:dyDescent="0.25">
      <c r="A135" s="864" t="s">
        <v>139</v>
      </c>
      <c r="B135" s="865">
        <v>25</v>
      </c>
      <c r="C135" s="285">
        <f>IF(B14="Yes", 25, 0)</f>
        <v>0</v>
      </c>
    </row>
    <row r="136" spans="1:10" x14ac:dyDescent="0.25">
      <c r="A136" s="120" t="s">
        <v>140</v>
      </c>
      <c r="B136" s="702">
        <v>25</v>
      </c>
      <c r="C136" s="26">
        <f>IF(B15="Yes", 25, 0)</f>
        <v>0</v>
      </c>
    </row>
    <row r="137" spans="1:10" ht="30" x14ac:dyDescent="0.25">
      <c r="A137" s="120" t="s">
        <v>141</v>
      </c>
      <c r="B137" s="702">
        <v>25</v>
      </c>
      <c r="C137" s="26">
        <f>IF(B16="Yes", 25, 0)</f>
        <v>0</v>
      </c>
    </row>
    <row r="138" spans="1:10" x14ac:dyDescent="0.25">
      <c r="A138" s="120" t="s">
        <v>142</v>
      </c>
      <c r="B138" s="702">
        <v>20</v>
      </c>
      <c r="C138" s="26">
        <f>IF(B17="Yes", 20, 0)</f>
        <v>0</v>
      </c>
    </row>
    <row r="139" spans="1:10" ht="30" x14ac:dyDescent="0.25">
      <c r="A139" s="120" t="s">
        <v>143</v>
      </c>
      <c r="B139" s="702">
        <v>20</v>
      </c>
      <c r="C139" s="26">
        <f>IF(B18="Yes", 20, 0)</f>
        <v>0</v>
      </c>
    </row>
    <row r="140" spans="1:10" x14ac:dyDescent="0.25">
      <c r="A140" s="120" t="s">
        <v>144</v>
      </c>
      <c r="B140" s="702">
        <v>20</v>
      </c>
      <c r="C140" s="26">
        <f>IF(B19="Yes", 20, 0)</f>
        <v>0</v>
      </c>
    </row>
    <row r="141" spans="1:10" x14ac:dyDescent="0.25">
      <c r="A141" s="120" t="s">
        <v>145</v>
      </c>
      <c r="B141" s="702">
        <v>20</v>
      </c>
      <c r="C141" s="26">
        <f>IF(B20="Yes", 20, 0)</f>
        <v>0</v>
      </c>
    </row>
    <row r="142" spans="1:10" x14ac:dyDescent="0.25">
      <c r="A142" s="120" t="s">
        <v>146</v>
      </c>
      <c r="B142" s="702">
        <v>10</v>
      </c>
      <c r="C142" s="26">
        <f>IF(B21="Yes", 10, 0)</f>
        <v>0</v>
      </c>
    </row>
    <row r="143" spans="1:10" x14ac:dyDescent="0.25">
      <c r="A143" s="120" t="s">
        <v>147</v>
      </c>
      <c r="B143" s="702">
        <v>10</v>
      </c>
      <c r="C143" s="26">
        <f>IF(B22="Yes", 10, 0)</f>
        <v>0</v>
      </c>
    </row>
    <row r="144" spans="1:10" x14ac:dyDescent="0.25">
      <c r="A144" s="1095" t="s">
        <v>150</v>
      </c>
      <c r="B144" s="1096"/>
      <c r="C144" s="1097"/>
    </row>
    <row r="145" spans="1:3" x14ac:dyDescent="0.25">
      <c r="A145" s="120" t="s">
        <v>151</v>
      </c>
      <c r="B145" s="702">
        <v>5</v>
      </c>
      <c r="C145" s="26">
        <f>IF(L25&gt;0, 5, 0)</f>
        <v>0</v>
      </c>
    </row>
    <row r="146" spans="1:3" x14ac:dyDescent="0.25">
      <c r="A146" s="120" t="s">
        <v>152</v>
      </c>
      <c r="B146" s="702">
        <v>5</v>
      </c>
      <c r="C146" s="26">
        <f>IF(L52&gt;0, 5, 0)</f>
        <v>0</v>
      </c>
    </row>
    <row r="147" spans="1:3" x14ac:dyDescent="0.25">
      <c r="A147" s="120" t="s">
        <v>153</v>
      </c>
      <c r="B147" s="702">
        <v>5</v>
      </c>
      <c r="C147" s="26">
        <f>IF(L79&gt;0, 5,0)</f>
        <v>0</v>
      </c>
    </row>
    <row r="148" spans="1:3" ht="15.75" thickBot="1" x14ac:dyDescent="0.3">
      <c r="A148" s="121" t="s">
        <v>154</v>
      </c>
      <c r="B148" s="27">
        <v>5</v>
      </c>
      <c r="C148" s="81">
        <f>IF(L106&gt;0, 5, 0)</f>
        <v>0</v>
      </c>
    </row>
    <row r="149" spans="1:3" ht="15.75" thickBot="1" x14ac:dyDescent="0.3">
      <c r="A149" s="1084" t="s">
        <v>126</v>
      </c>
      <c r="B149" s="1085"/>
      <c r="C149" s="475">
        <f>SUM(C135:C148)</f>
        <v>0</v>
      </c>
    </row>
  </sheetData>
  <sheetProtection algorithmName="SHA-512" hashValue="KRfDrhM22zJ7kuFkrLcykldU7K6kt4lelJATeAP/fIl7cGAp900Qh1mRYJY/yUd+Q8iJyafb9rJJmjuJ3FRfdw==" saltValue="lGmcswv76voJE4q7GxwrzQ==" spinCount="100000" sheet="1" objects="1" scenarios="1"/>
  <protectedRanges>
    <protectedRange sqref="B14:B22 A25:J49 A52:J76 A79:J103 A106:J130" name="Range1"/>
  </protectedRanges>
  <mergeCells count="112">
    <mergeCell ref="A126:B126"/>
    <mergeCell ref="A127:B127"/>
    <mergeCell ref="A128:B128"/>
    <mergeCell ref="A129:B129"/>
    <mergeCell ref="A130:B130"/>
    <mergeCell ref="A121:B121"/>
    <mergeCell ref="A122:B122"/>
    <mergeCell ref="A123:B123"/>
    <mergeCell ref="A124:B124"/>
    <mergeCell ref="A125:B125"/>
    <mergeCell ref="A116:B116"/>
    <mergeCell ref="A117:B117"/>
    <mergeCell ref="A118:B118"/>
    <mergeCell ref="A119:B119"/>
    <mergeCell ref="A120:B120"/>
    <mergeCell ref="A111:B111"/>
    <mergeCell ref="A112:B112"/>
    <mergeCell ref="A113:B113"/>
    <mergeCell ref="A114:B114"/>
    <mergeCell ref="A115:B115"/>
    <mergeCell ref="A102:B102"/>
    <mergeCell ref="A103:B103"/>
    <mergeCell ref="A100:B100"/>
    <mergeCell ref="A101:B101"/>
    <mergeCell ref="A98:B98"/>
    <mergeCell ref="A99:B99"/>
    <mergeCell ref="A96:B96"/>
    <mergeCell ref="A97:B97"/>
    <mergeCell ref="A94:B94"/>
    <mergeCell ref="A95:B95"/>
    <mergeCell ref="A92:B92"/>
    <mergeCell ref="A93:B93"/>
    <mergeCell ref="A90:B90"/>
    <mergeCell ref="A91:B91"/>
    <mergeCell ref="A88:B88"/>
    <mergeCell ref="A89:B89"/>
    <mergeCell ref="A86:B86"/>
    <mergeCell ref="A87:B87"/>
    <mergeCell ref="A84:B84"/>
    <mergeCell ref="A85:B85"/>
    <mergeCell ref="A75:B75"/>
    <mergeCell ref="A76:B76"/>
    <mergeCell ref="A73:B73"/>
    <mergeCell ref="A74:B74"/>
    <mergeCell ref="A71:B71"/>
    <mergeCell ref="A72:B72"/>
    <mergeCell ref="A69:B69"/>
    <mergeCell ref="A70:B70"/>
    <mergeCell ref="A67:B67"/>
    <mergeCell ref="A68:B68"/>
    <mergeCell ref="A41:B41"/>
    <mergeCell ref="A42:B42"/>
    <mergeCell ref="A43:B43"/>
    <mergeCell ref="A44:B44"/>
    <mergeCell ref="A65:B65"/>
    <mergeCell ref="A66:B66"/>
    <mergeCell ref="A63:B63"/>
    <mergeCell ref="A64:B64"/>
    <mergeCell ref="A61:B61"/>
    <mergeCell ref="A62:B62"/>
    <mergeCell ref="A59:B59"/>
    <mergeCell ref="A60:B60"/>
    <mergeCell ref="A57:B57"/>
    <mergeCell ref="A58:B58"/>
    <mergeCell ref="A12:B12"/>
    <mergeCell ref="A107:B107"/>
    <mergeCell ref="A108:B108"/>
    <mergeCell ref="A109:B109"/>
    <mergeCell ref="A30:B30"/>
    <mergeCell ref="A31:B31"/>
    <mergeCell ref="A32:B32"/>
    <mergeCell ref="A33:B33"/>
    <mergeCell ref="A34:B34"/>
    <mergeCell ref="A35:B35"/>
    <mergeCell ref="A36:B36"/>
    <mergeCell ref="A37:B37"/>
    <mergeCell ref="A38:B38"/>
    <mergeCell ref="A39:B39"/>
    <mergeCell ref="A40:B40"/>
    <mergeCell ref="A23:J23"/>
    <mergeCell ref="A50:J50"/>
    <mergeCell ref="A77:J77"/>
    <mergeCell ref="A104:J104"/>
    <mergeCell ref="A53:B53"/>
    <mergeCell ref="A54:B54"/>
    <mergeCell ref="A55:B55"/>
    <mergeCell ref="A56:B56"/>
    <mergeCell ref="A26:B26"/>
    <mergeCell ref="A149:B149"/>
    <mergeCell ref="A24:B24"/>
    <mergeCell ref="A25:B25"/>
    <mergeCell ref="A51:B51"/>
    <mergeCell ref="A52:B52"/>
    <mergeCell ref="A28:B28"/>
    <mergeCell ref="A29:B29"/>
    <mergeCell ref="A80:B80"/>
    <mergeCell ref="A81:B81"/>
    <mergeCell ref="A82:B82"/>
    <mergeCell ref="A83:B83"/>
    <mergeCell ref="A144:C144"/>
    <mergeCell ref="A106:B106"/>
    <mergeCell ref="A132:B132"/>
    <mergeCell ref="A78:B78"/>
    <mergeCell ref="A105:B105"/>
    <mergeCell ref="A110:B110"/>
    <mergeCell ref="A27:B27"/>
    <mergeCell ref="A79:B79"/>
    <mergeCell ref="A45:B45"/>
    <mergeCell ref="A46:B46"/>
    <mergeCell ref="A47:B47"/>
    <mergeCell ref="A48:B48"/>
    <mergeCell ref="A49:B49"/>
  </mergeCells>
  <phoneticPr fontId="39" type="noConversion"/>
  <dataValidations count="3">
    <dataValidation type="list" allowBlank="1" showInputMessage="1" showErrorMessage="1" sqref="B14:B22" xr:uid="{C3E8E51B-76F3-4094-819D-65F2803C6614}">
      <formula1>$R$9:$R$10</formula1>
    </dataValidation>
    <dataValidation type="decimal" allowBlank="1" showInputMessage="1" showErrorMessage="1" sqref="J25:J49 J52:J76 J79:J103 J106:J130" xr:uid="{8E17D285-C54A-4788-BC59-F9A550E7771E}">
      <formula1>0</formula1>
      <formula2>1E+29</formula2>
    </dataValidation>
    <dataValidation type="whole" allowBlank="1" showInputMessage="1" showErrorMessage="1" sqref="F25:G49 F52:G76 F79:G103 F106:G130" xr:uid="{797B3D75-97B0-4233-BE58-7883F2E097A9}">
      <formula1>0</formula1>
      <formula2>1000</formula2>
    </dataValidation>
  </dataValidations>
  <hyperlinks>
    <hyperlink ref="D1" location="'Respondent Information'!A1" display="Back to Respondent Information" xr:uid="{007F6BD8-77D4-4365-9CA9-779D61D4D333}"/>
  </hyperlinks>
  <pageMargins left="0.7" right="0.7" top="0.75" bottom="0.75" header="0.3" footer="0.3"/>
  <pageSetup scale="47" fitToHeight="0" orientation="landscape" r:id="rId1"/>
  <headerFooter>
    <oddHeader>&amp;C&amp;"Arial,Bold"&amp;14EXHIBIT A-5-a-V3
SUBMISSION REQUIREMENTS AND EVALUATION RESPONSE TEMPLATE</oddHeader>
    <oddFooter>&amp;C&amp;"Arial,Bold"AHCA ITN 010-22/23, Attachment A, Exhibit A-5-a-V3, Page &amp;P of &amp;N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0CA5A-7757-4A46-A27E-765149D5BE8B}">
  <sheetPr codeName="Sheet16">
    <tabColor rgb="FF00B0F0"/>
  </sheetPr>
  <dimension ref="A1:J87"/>
  <sheetViews>
    <sheetView zoomScaleNormal="100" workbookViewId="0"/>
  </sheetViews>
  <sheetFormatPr defaultRowHeight="15" x14ac:dyDescent="0.25"/>
  <sheetData>
    <row r="1" spans="1:10" ht="28.5" x14ac:dyDescent="0.45">
      <c r="A1" s="691" t="s">
        <v>155</v>
      </c>
      <c r="B1" s="19"/>
      <c r="C1" s="19"/>
      <c r="D1" s="19"/>
      <c r="E1" s="19"/>
      <c r="F1" s="19"/>
      <c r="G1" s="19"/>
      <c r="H1" s="19"/>
      <c r="I1" s="19"/>
      <c r="J1" s="691" t="s">
        <v>156</v>
      </c>
    </row>
    <row r="2" spans="1:10" ht="10.5" customHeight="1" x14ac:dyDescent="0.45">
      <c r="A2" s="19"/>
      <c r="B2" s="19"/>
      <c r="C2" s="19"/>
      <c r="D2" s="19"/>
      <c r="E2" s="19"/>
      <c r="F2" s="19"/>
      <c r="G2" s="19"/>
      <c r="H2" s="19"/>
      <c r="I2" s="19"/>
      <c r="J2" s="19"/>
    </row>
    <row r="3" spans="1:10" ht="18" customHeight="1" x14ac:dyDescent="0.45">
      <c r="A3" s="1055" t="s">
        <v>82</v>
      </c>
      <c r="B3" s="1055"/>
      <c r="C3" s="1055"/>
      <c r="D3" s="1055"/>
      <c r="E3" s="19"/>
      <c r="F3" s="19"/>
      <c r="G3" s="19"/>
      <c r="H3" s="19"/>
      <c r="I3" s="19"/>
      <c r="J3" s="701"/>
    </row>
    <row r="52" spans="2:2" x14ac:dyDescent="0.25">
      <c r="B52" s="70"/>
    </row>
    <row r="53" spans="2:2" x14ac:dyDescent="0.25">
      <c r="B53" s="394"/>
    </row>
    <row r="54" spans="2:2" x14ac:dyDescent="0.25">
      <c r="B54" s="394"/>
    </row>
    <row r="55" spans="2:2" x14ac:dyDescent="0.25">
      <c r="B55" s="394"/>
    </row>
    <row r="56" spans="2:2" x14ac:dyDescent="0.25">
      <c r="B56" s="394"/>
    </row>
    <row r="57" spans="2:2" x14ac:dyDescent="0.25">
      <c r="B57" s="70"/>
    </row>
    <row r="58" spans="2:2" x14ac:dyDescent="0.25">
      <c r="B58" s="394"/>
    </row>
    <row r="59" spans="2:2" x14ac:dyDescent="0.25">
      <c r="B59" s="394"/>
    </row>
    <row r="60" spans="2:2" x14ac:dyDescent="0.25">
      <c r="B60" s="70"/>
    </row>
    <row r="61" spans="2:2" x14ac:dyDescent="0.25">
      <c r="B61" s="394"/>
    </row>
    <row r="62" spans="2:2" x14ac:dyDescent="0.25">
      <c r="B62" s="394"/>
    </row>
    <row r="63" spans="2:2" x14ac:dyDescent="0.25">
      <c r="B63" s="70"/>
    </row>
    <row r="64" spans="2:2" x14ac:dyDescent="0.25">
      <c r="B64" s="394"/>
    </row>
    <row r="65" spans="2:2" x14ac:dyDescent="0.25">
      <c r="B65" s="394"/>
    </row>
    <row r="66" spans="2:2" x14ac:dyDescent="0.25">
      <c r="B66" s="394"/>
    </row>
    <row r="67" spans="2:2" x14ac:dyDescent="0.25">
      <c r="B67" s="394"/>
    </row>
    <row r="68" spans="2:2" x14ac:dyDescent="0.25">
      <c r="B68" s="70"/>
    </row>
    <row r="69" spans="2:2" x14ac:dyDescent="0.25">
      <c r="B69" s="70"/>
    </row>
    <row r="70" spans="2:2" x14ac:dyDescent="0.25">
      <c r="B70" s="349"/>
    </row>
    <row r="71" spans="2:2" x14ac:dyDescent="0.25">
      <c r="B71" s="394"/>
    </row>
    <row r="72" spans="2:2" x14ac:dyDescent="0.25">
      <c r="B72" s="394"/>
    </row>
    <row r="73" spans="2:2" x14ac:dyDescent="0.25">
      <c r="B73" s="394"/>
    </row>
    <row r="74" spans="2:2" x14ac:dyDescent="0.25">
      <c r="B74" s="394"/>
    </row>
    <row r="75" spans="2:2" x14ac:dyDescent="0.25">
      <c r="B75" s="349"/>
    </row>
    <row r="76" spans="2:2" x14ac:dyDescent="0.25">
      <c r="B76" s="394"/>
    </row>
    <row r="77" spans="2:2" x14ac:dyDescent="0.25">
      <c r="B77" s="394"/>
    </row>
    <row r="78" spans="2:2" x14ac:dyDescent="0.25">
      <c r="B78" s="394"/>
    </row>
    <row r="79" spans="2:2" x14ac:dyDescent="0.25">
      <c r="B79" s="394"/>
    </row>
    <row r="80" spans="2:2" x14ac:dyDescent="0.25">
      <c r="B80" s="70"/>
    </row>
    <row r="81" spans="2:2" x14ac:dyDescent="0.25">
      <c r="B81" s="70"/>
    </row>
    <row r="82" spans="2:2" x14ac:dyDescent="0.25">
      <c r="B82" s="70"/>
    </row>
    <row r="83" spans="2:2" x14ac:dyDescent="0.25">
      <c r="B83" s="70"/>
    </row>
    <row r="84" spans="2:2" x14ac:dyDescent="0.25">
      <c r="B84" s="70"/>
    </row>
    <row r="85" spans="2:2" x14ac:dyDescent="0.25">
      <c r="B85" s="70"/>
    </row>
    <row r="86" spans="2:2" x14ac:dyDescent="0.25">
      <c r="B86" s="70"/>
    </row>
    <row r="87" spans="2:2" x14ac:dyDescent="0.25">
      <c r="B87" s="70"/>
    </row>
  </sheetData>
  <sheetProtection algorithmName="SHA-512" hashValue="5YqOZ3fVBWBSmeP1G6IPfg2TkoSovBrrmljLSKJ+cITPo4tEf0iucwzxeX78RAzP+hgDRwEViUDIxgOrec52rQ==" saltValue="QAd9blK1nqWuV1ikv9KvRg==" spinCount="100000" sheet="1" objects="1" scenarios="1"/>
  <mergeCells count="1">
    <mergeCell ref="A3:D3"/>
  </mergeCells>
  <hyperlinks>
    <hyperlink ref="A3" location="'Respondent Information'!A1" display="Back to Respondent Information" xr:uid="{AD2FA8FE-FA34-492C-8C01-A6A16CEECF3F}"/>
  </hyperlinks>
  <pageMargins left="0.7" right="0.7" top="0.75" bottom="0.75" header="0.3" footer="0.3"/>
  <pageSetup orientation="portrait" r:id="rId1"/>
  <headerFooter>
    <oddHeader>&amp;C&amp;"Arial,Bold"&amp;14EXHIBIT A-5-a-V3
SUBMISSION REQUIREMENTS AND EVALUATION RESPONSE TEMPLATE</oddHeader>
    <oddFooter>&amp;C&amp;"Arial,Bold"AHCA ITN 010-22/23, Attachment A, Exhibit A-5-a-V3, 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8B20D-E93E-4275-AA59-B72358EE5D1F}">
  <sheetPr codeName="Sheet8">
    <tabColor rgb="FF00B0F0"/>
    <pageSetUpPr fitToPage="1"/>
  </sheetPr>
  <dimension ref="A1:I97"/>
  <sheetViews>
    <sheetView zoomScaleNormal="100" workbookViewId="0"/>
  </sheetViews>
  <sheetFormatPr defaultRowHeight="15" x14ac:dyDescent="0.25"/>
  <cols>
    <col min="1" max="1" width="60.85546875" customWidth="1"/>
    <col min="2" max="2" width="46.7109375" customWidth="1"/>
    <col min="3" max="3" width="20.42578125" customWidth="1"/>
    <col min="4" max="5" width="19.28515625" bestFit="1" customWidth="1"/>
    <col min="6" max="9" width="19.28515625" hidden="1" customWidth="1"/>
    <col min="10" max="11" width="19.28515625" customWidth="1"/>
  </cols>
  <sheetData>
    <row r="1" spans="1:5" ht="23.25" x14ac:dyDescent="0.35">
      <c r="A1" s="691" t="s">
        <v>157</v>
      </c>
      <c r="C1" s="643" t="s">
        <v>82</v>
      </c>
      <c r="D1" s="643"/>
      <c r="E1" s="643"/>
    </row>
    <row r="3" spans="1:5" x14ac:dyDescent="0.25">
      <c r="A3" s="692" t="s">
        <v>84</v>
      </c>
      <c r="B3" s="692" t="s">
        <v>85</v>
      </c>
      <c r="D3" s="1055" t="s">
        <v>158</v>
      </c>
      <c r="E3" s="1055"/>
    </row>
    <row r="4" spans="1:5" x14ac:dyDescent="0.25">
      <c r="A4" s="693" t="s">
        <v>87</v>
      </c>
      <c r="B4" s="179">
        <v>300</v>
      </c>
    </row>
    <row r="5" spans="1:5" x14ac:dyDescent="0.25">
      <c r="A5" s="693" t="s">
        <v>88</v>
      </c>
      <c r="B5" s="179">
        <f>C97</f>
        <v>0</v>
      </c>
    </row>
    <row r="6" spans="1:5" x14ac:dyDescent="0.25">
      <c r="A6" s="413" t="s">
        <v>89</v>
      </c>
      <c r="B6" s="420">
        <f>B5/B4</f>
        <v>0</v>
      </c>
    </row>
    <row r="7" spans="1:5" x14ac:dyDescent="0.25">
      <c r="A7" s="413" t="s">
        <v>135</v>
      </c>
      <c r="B7" s="414">
        <v>300</v>
      </c>
    </row>
    <row r="8" spans="1:5" x14ac:dyDescent="0.25">
      <c r="A8" s="413" t="s">
        <v>159</v>
      </c>
      <c r="B8" s="421">
        <f>B6*B7</f>
        <v>0</v>
      </c>
    </row>
    <row r="10" spans="1:5" ht="23.25" x14ac:dyDescent="0.35">
      <c r="A10" s="1116"/>
      <c r="B10" s="1117"/>
      <c r="C10" s="584" t="s">
        <v>8</v>
      </c>
    </row>
    <row r="11" spans="1:5" x14ac:dyDescent="0.25">
      <c r="A11" s="1114" t="s">
        <v>20</v>
      </c>
      <c r="B11" s="1115"/>
      <c r="C11" s="247" t="s">
        <v>66</v>
      </c>
    </row>
    <row r="12" spans="1:5" ht="29.25" customHeight="1" x14ac:dyDescent="0.25">
      <c r="A12" s="1107" t="s">
        <v>160</v>
      </c>
      <c r="B12" s="1108"/>
      <c r="C12" s="538"/>
    </row>
    <row r="13" spans="1:5" ht="35.25" customHeight="1" x14ac:dyDescent="0.25">
      <c r="A13" s="1107" t="s">
        <v>161</v>
      </c>
      <c r="B13" s="1108"/>
      <c r="C13" s="655"/>
    </row>
    <row r="14" spans="1:5" ht="35.25" customHeight="1" x14ac:dyDescent="0.25">
      <c r="A14" s="1108" t="s">
        <v>1263</v>
      </c>
      <c r="B14" s="1109"/>
      <c r="C14" s="538"/>
    </row>
    <row r="15" spans="1:5" x14ac:dyDescent="0.25">
      <c r="A15" s="1107" t="s">
        <v>162</v>
      </c>
      <c r="B15" s="1108"/>
      <c r="C15" s="655"/>
    </row>
    <row r="16" spans="1:5" ht="15" customHeight="1" x14ac:dyDescent="0.25">
      <c r="A16" s="1107" t="s">
        <v>163</v>
      </c>
      <c r="B16" s="1108"/>
      <c r="C16" s="655"/>
    </row>
    <row r="17" spans="1:9" ht="15" customHeight="1" x14ac:dyDescent="0.25">
      <c r="A17" s="1108" t="s">
        <v>164</v>
      </c>
      <c r="B17" s="1109"/>
      <c r="C17" s="655"/>
    </row>
    <row r="18" spans="1:9" ht="29.25" customHeight="1" x14ac:dyDescent="0.25">
      <c r="A18" s="1107" t="s">
        <v>165</v>
      </c>
      <c r="B18" s="1108"/>
      <c r="C18" s="225"/>
      <c r="F18" t="s">
        <v>26</v>
      </c>
    </row>
    <row r="19" spans="1:9" x14ac:dyDescent="0.25">
      <c r="A19" s="1110" t="s">
        <v>166</v>
      </c>
      <c r="B19" s="1111"/>
      <c r="C19" s="655"/>
      <c r="F19" t="s">
        <v>28</v>
      </c>
      <c r="G19">
        <f t="shared" ref="G19:G50" si="0">IF(C19="Yes",5, 0)</f>
        <v>0</v>
      </c>
      <c r="H19" t="e">
        <f>IF(#REF!="Yes", 0.5, 0)</f>
        <v>#REF!</v>
      </c>
      <c r="I19" t="e">
        <f>IF(#REF!="Yes", 0.5, 0)</f>
        <v>#REF!</v>
      </c>
    </row>
    <row r="20" spans="1:9" x14ac:dyDescent="0.25">
      <c r="A20" s="1110" t="s">
        <v>167</v>
      </c>
      <c r="B20" s="1111"/>
      <c r="C20" s="655"/>
      <c r="G20">
        <f t="shared" si="0"/>
        <v>0</v>
      </c>
      <c r="H20" t="e">
        <f>IF(#REF!="Yes", 0.5, 0)</f>
        <v>#REF!</v>
      </c>
      <c r="I20" t="e">
        <f>IF(#REF!="Yes", 0.5, 0)</f>
        <v>#REF!</v>
      </c>
    </row>
    <row r="21" spans="1:9" x14ac:dyDescent="0.25">
      <c r="A21" s="1110" t="s">
        <v>168</v>
      </c>
      <c r="B21" s="1111"/>
      <c r="C21" s="655"/>
      <c r="G21">
        <f t="shared" si="0"/>
        <v>0</v>
      </c>
      <c r="H21" t="e">
        <f>IF(#REF!="Yes", 0.5, 0)</f>
        <v>#REF!</v>
      </c>
      <c r="I21" t="e">
        <f>IF(#REF!="Yes", 0.5, 0)</f>
        <v>#REF!</v>
      </c>
    </row>
    <row r="22" spans="1:9" x14ac:dyDescent="0.25">
      <c r="A22" s="1110" t="s">
        <v>169</v>
      </c>
      <c r="B22" s="1111"/>
      <c r="C22" s="655"/>
      <c r="G22">
        <f t="shared" si="0"/>
        <v>0</v>
      </c>
      <c r="H22" t="e">
        <f>IF(#REF!="Yes", 0.5, 0)</f>
        <v>#REF!</v>
      </c>
      <c r="I22" t="e">
        <f>IF(#REF!="Yes", 0.5, 0)</f>
        <v>#REF!</v>
      </c>
    </row>
    <row r="23" spans="1:9" x14ac:dyDescent="0.25">
      <c r="A23" s="1110" t="s">
        <v>170</v>
      </c>
      <c r="B23" s="1111"/>
      <c r="C23" s="655"/>
      <c r="G23">
        <f t="shared" si="0"/>
        <v>0</v>
      </c>
      <c r="H23" t="e">
        <f>IF(#REF!="Yes", 0.5, 0)</f>
        <v>#REF!</v>
      </c>
      <c r="I23" t="e">
        <f>IF(#REF!="Yes", 0.5, 0)</f>
        <v>#REF!</v>
      </c>
    </row>
    <row r="24" spans="1:9" x14ac:dyDescent="0.25">
      <c r="A24" s="1110" t="s">
        <v>171</v>
      </c>
      <c r="B24" s="1111"/>
      <c r="C24" s="655"/>
      <c r="G24">
        <f t="shared" si="0"/>
        <v>0</v>
      </c>
      <c r="H24" t="e">
        <f>IF(#REF!="Yes", 0.5, 0)</f>
        <v>#REF!</v>
      </c>
      <c r="I24" t="e">
        <f>IF(#REF!="Yes", 0.5, 0)</f>
        <v>#REF!</v>
      </c>
    </row>
    <row r="25" spans="1:9" x14ac:dyDescent="0.25">
      <c r="A25" s="1110" t="s">
        <v>172</v>
      </c>
      <c r="B25" s="1111"/>
      <c r="C25" s="655"/>
      <c r="G25">
        <f t="shared" si="0"/>
        <v>0</v>
      </c>
      <c r="H25" t="e">
        <f>IF(#REF!="Yes", 0.5, 0)</f>
        <v>#REF!</v>
      </c>
      <c r="I25" t="e">
        <f>IF(#REF!="Yes", 0.5, 0)</f>
        <v>#REF!</v>
      </c>
    </row>
    <row r="26" spans="1:9" x14ac:dyDescent="0.25">
      <c r="A26" s="1111" t="s">
        <v>173</v>
      </c>
      <c r="B26" s="1111"/>
      <c r="C26" s="655"/>
      <c r="G26">
        <f t="shared" si="0"/>
        <v>0</v>
      </c>
      <c r="H26" t="e">
        <f>IF(#REF!="Yes", 0.5, 0)</f>
        <v>#REF!</v>
      </c>
      <c r="I26" t="e">
        <f>IF(#REF!="Yes", 0.5, 0)</f>
        <v>#REF!</v>
      </c>
    </row>
    <row r="27" spans="1:9" x14ac:dyDescent="0.25">
      <c r="A27" s="1111" t="s">
        <v>174</v>
      </c>
      <c r="B27" s="1111"/>
      <c r="C27" s="655"/>
      <c r="G27">
        <f t="shared" si="0"/>
        <v>0</v>
      </c>
      <c r="H27" t="e">
        <f>IF(#REF!="Yes", 0.5, 0)</f>
        <v>#REF!</v>
      </c>
      <c r="I27" t="e">
        <f>IF(#REF!="Yes", 0.5, 0)</f>
        <v>#REF!</v>
      </c>
    </row>
    <row r="28" spans="1:9" x14ac:dyDescent="0.25">
      <c r="A28" s="1111" t="s">
        <v>175</v>
      </c>
      <c r="B28" s="1111"/>
      <c r="C28" s="655"/>
      <c r="G28">
        <f t="shared" si="0"/>
        <v>0</v>
      </c>
      <c r="H28" t="e">
        <f>IF(#REF!="Yes", 0.5, 0)</f>
        <v>#REF!</v>
      </c>
      <c r="I28" t="e">
        <f>IF(#REF!="Yes", 0.5, 0)</f>
        <v>#REF!</v>
      </c>
    </row>
    <row r="29" spans="1:9" x14ac:dyDescent="0.25">
      <c r="A29" s="1111" t="s">
        <v>176</v>
      </c>
      <c r="B29" s="1111"/>
      <c r="C29" s="655"/>
      <c r="G29">
        <f t="shared" si="0"/>
        <v>0</v>
      </c>
      <c r="H29" t="e">
        <f>IF(#REF!="Yes", 0.5, 0)</f>
        <v>#REF!</v>
      </c>
      <c r="I29" t="e">
        <f>IF(#REF!="Yes", 0.5, 0)</f>
        <v>#REF!</v>
      </c>
    </row>
    <row r="30" spans="1:9" x14ac:dyDescent="0.25">
      <c r="A30" s="1111" t="s">
        <v>177</v>
      </c>
      <c r="B30" s="1111"/>
      <c r="C30" s="655"/>
      <c r="G30">
        <f t="shared" si="0"/>
        <v>0</v>
      </c>
      <c r="H30" t="e">
        <f>IF(#REF!="Yes", 0.5, 0)</f>
        <v>#REF!</v>
      </c>
      <c r="I30" t="e">
        <f>IF(#REF!="Yes", 0.5, 0)</f>
        <v>#REF!</v>
      </c>
    </row>
    <row r="31" spans="1:9" x14ac:dyDescent="0.25">
      <c r="A31" s="1111" t="s">
        <v>178</v>
      </c>
      <c r="B31" s="1111"/>
      <c r="C31" s="655"/>
      <c r="G31">
        <f t="shared" si="0"/>
        <v>0</v>
      </c>
      <c r="H31" t="e">
        <f>IF(#REF!="Yes", 0.5, 0)</f>
        <v>#REF!</v>
      </c>
      <c r="I31" t="e">
        <f>IF(#REF!="Yes", 0.5, 0)</f>
        <v>#REF!</v>
      </c>
    </row>
    <row r="32" spans="1:9" x14ac:dyDescent="0.25">
      <c r="A32" s="1111" t="s">
        <v>179</v>
      </c>
      <c r="B32" s="1111"/>
      <c r="C32" s="655"/>
      <c r="G32">
        <f t="shared" si="0"/>
        <v>0</v>
      </c>
      <c r="H32" t="e">
        <f>IF(#REF!="Yes", 0.5, 0)</f>
        <v>#REF!</v>
      </c>
      <c r="I32" t="e">
        <f>IF(#REF!="Yes", 0.5, 0)</f>
        <v>#REF!</v>
      </c>
    </row>
    <row r="33" spans="1:9" x14ac:dyDescent="0.25">
      <c r="A33" s="1111" t="s">
        <v>180</v>
      </c>
      <c r="B33" s="1111"/>
      <c r="C33" s="655"/>
      <c r="G33">
        <f t="shared" si="0"/>
        <v>0</v>
      </c>
      <c r="H33" t="e">
        <f>IF(#REF!="Yes", 0.5, 0)</f>
        <v>#REF!</v>
      </c>
      <c r="I33" t="e">
        <f>IF(#REF!="Yes", 0.5, 0)</f>
        <v>#REF!</v>
      </c>
    </row>
    <row r="34" spans="1:9" x14ac:dyDescent="0.25">
      <c r="A34" s="1111" t="s">
        <v>181</v>
      </c>
      <c r="B34" s="1111"/>
      <c r="C34" s="655"/>
      <c r="G34">
        <f t="shared" si="0"/>
        <v>0</v>
      </c>
      <c r="H34" t="e">
        <f>IF(#REF!="Yes", 0.5, 0)</f>
        <v>#REF!</v>
      </c>
      <c r="I34" t="e">
        <f>IF(#REF!="Yes", 0.5, 0)</f>
        <v>#REF!</v>
      </c>
    </row>
    <row r="35" spans="1:9" x14ac:dyDescent="0.25">
      <c r="A35" s="1111" t="s">
        <v>182</v>
      </c>
      <c r="B35" s="1111"/>
      <c r="C35" s="655"/>
      <c r="G35">
        <f t="shared" si="0"/>
        <v>0</v>
      </c>
      <c r="H35" t="e">
        <f>IF(#REF!="Yes", 0.5, 0)</f>
        <v>#REF!</v>
      </c>
      <c r="I35" t="e">
        <f>IF(#REF!="Yes", 0.5, 0)</f>
        <v>#REF!</v>
      </c>
    </row>
    <row r="36" spans="1:9" x14ac:dyDescent="0.25">
      <c r="A36" s="1111" t="s">
        <v>183</v>
      </c>
      <c r="B36" s="1111"/>
      <c r="C36" s="655"/>
      <c r="G36">
        <f t="shared" si="0"/>
        <v>0</v>
      </c>
      <c r="H36" t="e">
        <f>IF(#REF!="Yes", 0.5, 0)</f>
        <v>#REF!</v>
      </c>
      <c r="I36" t="e">
        <f>IF(#REF!="Yes", 0.5, 0)</f>
        <v>#REF!</v>
      </c>
    </row>
    <row r="37" spans="1:9" x14ac:dyDescent="0.25">
      <c r="A37" s="1111" t="s">
        <v>184</v>
      </c>
      <c r="B37" s="1111"/>
      <c r="C37" s="655"/>
      <c r="G37">
        <f t="shared" si="0"/>
        <v>0</v>
      </c>
      <c r="H37" t="e">
        <f>IF(#REF!="Yes", 0.5, 0)</f>
        <v>#REF!</v>
      </c>
      <c r="I37" t="e">
        <f>IF(#REF!="Yes", 0.5, 0)</f>
        <v>#REF!</v>
      </c>
    </row>
    <row r="38" spans="1:9" x14ac:dyDescent="0.25">
      <c r="A38" s="1111" t="s">
        <v>185</v>
      </c>
      <c r="B38" s="1111"/>
      <c r="C38" s="655"/>
      <c r="G38">
        <f t="shared" si="0"/>
        <v>0</v>
      </c>
      <c r="H38" t="e">
        <f>IF(#REF!="Yes", 0.5, 0)</f>
        <v>#REF!</v>
      </c>
      <c r="I38" t="e">
        <f>IF(#REF!="Yes", 0.5, 0)</f>
        <v>#REF!</v>
      </c>
    </row>
    <row r="39" spans="1:9" x14ac:dyDescent="0.25">
      <c r="A39" s="1111" t="s">
        <v>186</v>
      </c>
      <c r="B39" s="1111"/>
      <c r="C39" s="655"/>
      <c r="G39">
        <f t="shared" si="0"/>
        <v>0</v>
      </c>
      <c r="H39" t="e">
        <f>IF(#REF!="Yes", 0.5, 0)</f>
        <v>#REF!</v>
      </c>
      <c r="I39" t="e">
        <f>IF(#REF!="Yes", 0.5, 0)</f>
        <v>#REF!</v>
      </c>
    </row>
    <row r="40" spans="1:9" x14ac:dyDescent="0.25">
      <c r="A40" s="1111" t="s">
        <v>187</v>
      </c>
      <c r="B40" s="1111"/>
      <c r="C40" s="655"/>
      <c r="G40">
        <f t="shared" si="0"/>
        <v>0</v>
      </c>
      <c r="H40" t="e">
        <f>IF(#REF!="Yes", 0.5, 0)</f>
        <v>#REF!</v>
      </c>
      <c r="I40" t="e">
        <f>IF(#REF!="Yes", 0.5, 0)</f>
        <v>#REF!</v>
      </c>
    </row>
    <row r="41" spans="1:9" x14ac:dyDescent="0.25">
      <c r="A41" s="1111" t="s">
        <v>188</v>
      </c>
      <c r="B41" s="1111"/>
      <c r="C41" s="655"/>
      <c r="G41">
        <f t="shared" si="0"/>
        <v>0</v>
      </c>
      <c r="H41" t="e">
        <f>IF(#REF!="Yes", 0.5, 0)</f>
        <v>#REF!</v>
      </c>
      <c r="I41" t="e">
        <f>IF(#REF!="Yes", 0.5, 0)</f>
        <v>#REF!</v>
      </c>
    </row>
    <row r="42" spans="1:9" x14ac:dyDescent="0.25">
      <c r="A42" s="1111" t="s">
        <v>189</v>
      </c>
      <c r="B42" s="1111"/>
      <c r="C42" s="655"/>
      <c r="G42">
        <f t="shared" si="0"/>
        <v>0</v>
      </c>
      <c r="H42" t="e">
        <f>IF(#REF!="Yes", 0.5, 0)</f>
        <v>#REF!</v>
      </c>
      <c r="I42" t="e">
        <f>IF(#REF!="Yes", 0.5, 0)</f>
        <v>#REF!</v>
      </c>
    </row>
    <row r="43" spans="1:9" x14ac:dyDescent="0.25">
      <c r="A43" s="1111" t="s">
        <v>190</v>
      </c>
      <c r="B43" s="1111"/>
      <c r="C43" s="655"/>
      <c r="G43">
        <f t="shared" si="0"/>
        <v>0</v>
      </c>
      <c r="H43" t="e">
        <f>IF(#REF!="Yes", 0.5, 0)</f>
        <v>#REF!</v>
      </c>
      <c r="I43" t="e">
        <f>IF(#REF!="Yes", 0.5, 0)</f>
        <v>#REF!</v>
      </c>
    </row>
    <row r="44" spans="1:9" x14ac:dyDescent="0.25">
      <c r="A44" s="1111" t="s">
        <v>191</v>
      </c>
      <c r="B44" s="1111"/>
      <c r="C44" s="655"/>
      <c r="G44">
        <f t="shared" si="0"/>
        <v>0</v>
      </c>
      <c r="H44" t="e">
        <f>IF(#REF!="Yes", 0.5, 0)</f>
        <v>#REF!</v>
      </c>
      <c r="I44" t="e">
        <f>IF(#REF!="Yes", 0.5, 0)</f>
        <v>#REF!</v>
      </c>
    </row>
    <row r="45" spans="1:9" x14ac:dyDescent="0.25">
      <c r="A45" s="1111" t="s">
        <v>192</v>
      </c>
      <c r="B45" s="1111"/>
      <c r="C45" s="655"/>
      <c r="G45">
        <f t="shared" si="0"/>
        <v>0</v>
      </c>
      <c r="H45" t="e">
        <f>IF(#REF!="Yes", 0.5, 0)</f>
        <v>#REF!</v>
      </c>
      <c r="I45" t="e">
        <f>IF(#REF!="Yes", 0.5, 0)</f>
        <v>#REF!</v>
      </c>
    </row>
    <row r="46" spans="1:9" x14ac:dyDescent="0.25">
      <c r="A46" s="1111" t="s">
        <v>193</v>
      </c>
      <c r="B46" s="1111"/>
      <c r="C46" s="655"/>
      <c r="G46">
        <f t="shared" si="0"/>
        <v>0</v>
      </c>
      <c r="H46" t="e">
        <f>IF(#REF!="Yes", 0.5, 0)</f>
        <v>#REF!</v>
      </c>
      <c r="I46" t="e">
        <f>IF(#REF!="Yes", 0.5, 0)</f>
        <v>#REF!</v>
      </c>
    </row>
    <row r="47" spans="1:9" x14ac:dyDescent="0.25">
      <c r="A47" s="1111" t="s">
        <v>194</v>
      </c>
      <c r="B47" s="1111"/>
      <c r="C47" s="655"/>
      <c r="G47">
        <f t="shared" si="0"/>
        <v>0</v>
      </c>
      <c r="H47" t="e">
        <f>IF(#REF!="Yes", 0.5, 0)</f>
        <v>#REF!</v>
      </c>
      <c r="I47" t="e">
        <f>IF(#REF!="Yes", 0.5, 0)</f>
        <v>#REF!</v>
      </c>
    </row>
    <row r="48" spans="1:9" x14ac:dyDescent="0.25">
      <c r="A48" s="1111" t="s">
        <v>195</v>
      </c>
      <c r="B48" s="1111"/>
      <c r="C48" s="655"/>
      <c r="G48">
        <f t="shared" si="0"/>
        <v>0</v>
      </c>
      <c r="H48" t="e">
        <f>IF(#REF!="Yes", 0.5, 0)</f>
        <v>#REF!</v>
      </c>
      <c r="I48" t="e">
        <f>IF(#REF!="Yes", 0.5, 0)</f>
        <v>#REF!</v>
      </c>
    </row>
    <row r="49" spans="1:9" x14ac:dyDescent="0.25">
      <c r="A49" s="1111" t="s">
        <v>196</v>
      </c>
      <c r="B49" s="1111"/>
      <c r="C49" s="655"/>
      <c r="G49">
        <f t="shared" si="0"/>
        <v>0</v>
      </c>
      <c r="H49" t="e">
        <f>IF(#REF!="Yes", 0.5, 0)</f>
        <v>#REF!</v>
      </c>
      <c r="I49" t="e">
        <f>IF(#REF!="Yes", 0.5, 0)</f>
        <v>#REF!</v>
      </c>
    </row>
    <row r="50" spans="1:9" x14ac:dyDescent="0.25">
      <c r="A50" s="1111" t="s">
        <v>197</v>
      </c>
      <c r="B50" s="1111"/>
      <c r="C50" s="655"/>
      <c r="G50">
        <f t="shared" si="0"/>
        <v>0</v>
      </c>
      <c r="H50" t="e">
        <f>IF(#REF!="Yes", 0.5, 0)</f>
        <v>#REF!</v>
      </c>
      <c r="I50" t="e">
        <f>IF(#REF!="Yes", 0.5, 0)</f>
        <v>#REF!</v>
      </c>
    </row>
    <row r="51" spans="1:9" ht="43.5" customHeight="1" x14ac:dyDescent="0.25">
      <c r="A51" s="1107" t="s">
        <v>198</v>
      </c>
      <c r="B51" s="1108"/>
      <c r="C51" s="226"/>
      <c r="G51">
        <f>SUM(G19:G50)</f>
        <v>0</v>
      </c>
      <c r="H51" t="e">
        <f>SUM(H19:H50)</f>
        <v>#REF!</v>
      </c>
      <c r="I51" t="e">
        <f>SUM(I19:I50)</f>
        <v>#REF!</v>
      </c>
    </row>
    <row r="52" spans="1:9" x14ac:dyDescent="0.25">
      <c r="A52" s="1111" t="s">
        <v>199</v>
      </c>
      <c r="B52" s="1111"/>
      <c r="C52" s="655"/>
      <c r="G52">
        <f t="shared" ref="G52:G66" si="1">IF(C52="Yes", 3, 0)</f>
        <v>0</v>
      </c>
      <c r="H52" t="e">
        <f>IF(#REF!="Yes", 0.5, 0)</f>
        <v>#REF!</v>
      </c>
      <c r="I52" t="e">
        <f>IF(#REF!="Yes", 0.5, 0)</f>
        <v>#REF!</v>
      </c>
    </row>
    <row r="53" spans="1:9" x14ac:dyDescent="0.25">
      <c r="A53" s="1111" t="s">
        <v>200</v>
      </c>
      <c r="B53" s="1111"/>
      <c r="C53" s="655"/>
      <c r="G53">
        <f t="shared" si="1"/>
        <v>0</v>
      </c>
      <c r="H53" t="e">
        <f>IF(#REF!="Yes", 0.5, 0)</f>
        <v>#REF!</v>
      </c>
      <c r="I53" t="e">
        <f>IF(#REF!="Yes", 0.5, 0)</f>
        <v>#REF!</v>
      </c>
    </row>
    <row r="54" spans="1:9" x14ac:dyDescent="0.25">
      <c r="A54" s="1111" t="s">
        <v>201</v>
      </c>
      <c r="B54" s="1111"/>
      <c r="C54" s="655"/>
      <c r="G54">
        <f t="shared" si="1"/>
        <v>0</v>
      </c>
      <c r="H54" t="e">
        <f>IF(#REF!="Yes", 0.5, 0)</f>
        <v>#REF!</v>
      </c>
      <c r="I54" t="e">
        <f>IF(#REF!="Yes", 0.5, 0)</f>
        <v>#REF!</v>
      </c>
    </row>
    <row r="55" spans="1:9" x14ac:dyDescent="0.25">
      <c r="A55" s="1111" t="s">
        <v>202</v>
      </c>
      <c r="B55" s="1111"/>
      <c r="C55" s="655"/>
      <c r="G55">
        <f t="shared" si="1"/>
        <v>0</v>
      </c>
      <c r="H55" t="e">
        <f>IF(#REF!="Yes", 0.5, 0)</f>
        <v>#REF!</v>
      </c>
      <c r="I55" t="e">
        <f>IF(#REF!="Yes", 0.5, 0)</f>
        <v>#REF!</v>
      </c>
    </row>
    <row r="56" spans="1:9" x14ac:dyDescent="0.25">
      <c r="A56" s="1111" t="s">
        <v>203</v>
      </c>
      <c r="B56" s="1111"/>
      <c r="C56" s="655"/>
      <c r="G56">
        <f t="shared" si="1"/>
        <v>0</v>
      </c>
      <c r="H56" t="e">
        <f>IF(#REF!="Yes", 0.5, 0)</f>
        <v>#REF!</v>
      </c>
      <c r="I56" t="e">
        <f>IF(#REF!="Yes", 0.5, 0)</f>
        <v>#REF!</v>
      </c>
    </row>
    <row r="57" spans="1:9" x14ac:dyDescent="0.25">
      <c r="A57" s="1111" t="s">
        <v>204</v>
      </c>
      <c r="B57" s="1111"/>
      <c r="C57" s="655"/>
      <c r="G57">
        <f t="shared" si="1"/>
        <v>0</v>
      </c>
      <c r="H57" t="e">
        <f>IF(#REF!="Yes", 0.5, 0)</f>
        <v>#REF!</v>
      </c>
      <c r="I57" t="e">
        <f>IF(#REF!="Yes", 0.5, 0)</f>
        <v>#REF!</v>
      </c>
    </row>
    <row r="58" spans="1:9" x14ac:dyDescent="0.25">
      <c r="A58" s="1111" t="s">
        <v>205</v>
      </c>
      <c r="B58" s="1111"/>
      <c r="C58" s="655"/>
      <c r="G58">
        <f t="shared" si="1"/>
        <v>0</v>
      </c>
      <c r="H58" t="e">
        <f>IF(#REF!="Yes", 0.5, 0)</f>
        <v>#REF!</v>
      </c>
      <c r="I58" t="e">
        <f>IF(#REF!="Yes", 0.5, 0)</f>
        <v>#REF!</v>
      </c>
    </row>
    <row r="59" spans="1:9" x14ac:dyDescent="0.25">
      <c r="A59" s="1111" t="s">
        <v>206</v>
      </c>
      <c r="B59" s="1111"/>
      <c r="C59" s="655"/>
      <c r="G59">
        <f t="shared" si="1"/>
        <v>0</v>
      </c>
      <c r="H59" t="e">
        <f>IF(#REF!="Yes", 0.5, 0)</f>
        <v>#REF!</v>
      </c>
      <c r="I59" t="e">
        <f>IF(#REF!="Yes", 0.5, 0)</f>
        <v>#REF!</v>
      </c>
    </row>
    <row r="60" spans="1:9" x14ac:dyDescent="0.25">
      <c r="A60" s="1111" t="s">
        <v>207</v>
      </c>
      <c r="B60" s="1111"/>
      <c r="C60" s="655"/>
      <c r="G60">
        <f t="shared" si="1"/>
        <v>0</v>
      </c>
      <c r="H60" t="e">
        <f>IF(#REF!="Yes", 0.5, 0)</f>
        <v>#REF!</v>
      </c>
      <c r="I60" t="e">
        <f>IF(#REF!="Yes", 0.5, 0)</f>
        <v>#REF!</v>
      </c>
    </row>
    <row r="61" spans="1:9" x14ac:dyDescent="0.25">
      <c r="A61" s="1111" t="s">
        <v>208</v>
      </c>
      <c r="B61" s="1111"/>
      <c r="C61" s="655"/>
      <c r="G61">
        <f t="shared" si="1"/>
        <v>0</v>
      </c>
      <c r="H61" t="e">
        <f>IF(#REF!="Yes", 0.5, 0)</f>
        <v>#REF!</v>
      </c>
      <c r="I61" t="e">
        <f>IF(#REF!="Yes", 0.5, 0)</f>
        <v>#REF!</v>
      </c>
    </row>
    <row r="62" spans="1:9" x14ac:dyDescent="0.25">
      <c r="A62" s="1111" t="s">
        <v>209</v>
      </c>
      <c r="B62" s="1111"/>
      <c r="C62" s="655"/>
      <c r="G62">
        <f t="shared" si="1"/>
        <v>0</v>
      </c>
      <c r="H62" t="e">
        <f>IF(#REF!="Yes", 0.5, 0)</f>
        <v>#REF!</v>
      </c>
      <c r="I62" t="e">
        <f>IF(#REF!="Yes", 0.5, 0)</f>
        <v>#REF!</v>
      </c>
    </row>
    <row r="63" spans="1:9" x14ac:dyDescent="0.25">
      <c r="A63" s="1111" t="s">
        <v>210</v>
      </c>
      <c r="B63" s="1111"/>
      <c r="C63" s="655"/>
      <c r="G63">
        <f t="shared" si="1"/>
        <v>0</v>
      </c>
      <c r="H63" t="e">
        <f>IF(#REF!="Yes", 0.5, 0)</f>
        <v>#REF!</v>
      </c>
      <c r="I63" t="e">
        <f>IF(#REF!="Yes", 0.5, 0)</f>
        <v>#REF!</v>
      </c>
    </row>
    <row r="64" spans="1:9" x14ac:dyDescent="0.25">
      <c r="A64" s="1111" t="s">
        <v>211</v>
      </c>
      <c r="B64" s="1111"/>
      <c r="C64" s="655"/>
      <c r="G64">
        <f t="shared" si="1"/>
        <v>0</v>
      </c>
      <c r="H64" t="e">
        <f>IF(#REF!="Yes", 0.5, 0)</f>
        <v>#REF!</v>
      </c>
      <c r="I64" t="e">
        <f>IF(#REF!="Yes", 0.5, 0)</f>
        <v>#REF!</v>
      </c>
    </row>
    <row r="65" spans="1:9" x14ac:dyDescent="0.25">
      <c r="A65" s="1111" t="s">
        <v>212</v>
      </c>
      <c r="B65" s="1111"/>
      <c r="C65" s="655"/>
      <c r="G65">
        <f t="shared" si="1"/>
        <v>0</v>
      </c>
      <c r="H65" t="e">
        <f>IF(#REF!="Yes", 0.5, 0)</f>
        <v>#REF!</v>
      </c>
      <c r="I65" t="e">
        <f>IF(#REF!="Yes", 0.5, 0)</f>
        <v>#REF!</v>
      </c>
    </row>
    <row r="66" spans="1:9" x14ac:dyDescent="0.25">
      <c r="A66" s="1111" t="s">
        <v>213</v>
      </c>
      <c r="B66" s="1111"/>
      <c r="C66" s="655"/>
      <c r="G66">
        <f t="shared" si="1"/>
        <v>0</v>
      </c>
      <c r="H66" t="e">
        <f>IF(#REF!="Yes", 0.5, 0)</f>
        <v>#REF!</v>
      </c>
      <c r="I66" t="e">
        <f>IF(#REF!="Yes", 0.5, 0)</f>
        <v>#REF!</v>
      </c>
    </row>
    <row r="67" spans="1:9" ht="60.75" customHeight="1" x14ac:dyDescent="0.25">
      <c r="A67" s="1107" t="s">
        <v>214</v>
      </c>
      <c r="B67" s="1108"/>
      <c r="C67" s="655"/>
      <c r="G67">
        <f>SUM(G52:G66)</f>
        <v>0</v>
      </c>
      <c r="H67" t="e">
        <f>SUM(H52:H66)</f>
        <v>#REF!</v>
      </c>
      <c r="I67" t="e">
        <f>SUM(I52:I66)</f>
        <v>#REF!</v>
      </c>
    </row>
    <row r="68" spans="1:9" ht="32.25" customHeight="1" x14ac:dyDescent="0.25">
      <c r="A68" s="1107" t="s">
        <v>1265</v>
      </c>
      <c r="B68" s="1108"/>
      <c r="C68" s="655"/>
    </row>
    <row r="69" spans="1:9" ht="30.75" customHeight="1" thickBot="1" x14ac:dyDescent="0.3">
      <c r="A69" s="1107" t="s">
        <v>215</v>
      </c>
      <c r="B69" s="1108"/>
      <c r="C69" s="655"/>
    </row>
    <row r="70" spans="1:9" ht="23.25" x14ac:dyDescent="0.35">
      <c r="A70" s="1108"/>
      <c r="B70" s="1113"/>
      <c r="C70" s="663">
        <f>'Respondent Information'!C6</f>
        <v>0</v>
      </c>
      <c r="D70" s="387">
        <f>'Respondent Information'!C9</f>
        <v>0</v>
      </c>
      <c r="E70" s="664">
        <f>'Respondent Information'!C12</f>
        <v>0</v>
      </c>
    </row>
    <row r="71" spans="1:9" ht="15.75" thickBot="1" x14ac:dyDescent="0.3">
      <c r="A71" s="1108"/>
      <c r="B71" s="1113"/>
      <c r="C71" s="385">
        <f>'Respondent Information'!E6</f>
        <v>0</v>
      </c>
      <c r="D71" s="388">
        <f>'Respondent Information'!E9</f>
        <v>0</v>
      </c>
      <c r="E71" s="386">
        <f>'Respondent Information'!E12</f>
        <v>0</v>
      </c>
    </row>
    <row r="72" spans="1:9" ht="32.25" customHeight="1" x14ac:dyDescent="0.25">
      <c r="A72" s="1107" t="s">
        <v>216</v>
      </c>
      <c r="B72" s="1108"/>
      <c r="C72" s="656"/>
      <c r="D72" s="582"/>
      <c r="E72" s="581"/>
    </row>
    <row r="73" spans="1:9" ht="30" customHeight="1" thickBot="1" x14ac:dyDescent="0.3">
      <c r="A73" s="1107" t="s">
        <v>217</v>
      </c>
      <c r="B73" s="1108"/>
      <c r="C73" s="656"/>
      <c r="D73" s="583"/>
      <c r="E73" s="581"/>
    </row>
    <row r="74" spans="1:9" x14ac:dyDescent="0.25">
      <c r="A74" s="648"/>
      <c r="B74" s="648"/>
    </row>
    <row r="75" spans="1:9" ht="21" x14ac:dyDescent="0.35">
      <c r="A75" s="1056" t="s">
        <v>117</v>
      </c>
      <c r="B75" s="1056"/>
      <c r="D75" s="643" t="s">
        <v>118</v>
      </c>
    </row>
    <row r="76" spans="1:9" ht="17.25" customHeight="1" thickBot="1" x14ac:dyDescent="0.3">
      <c r="A76" s="21"/>
      <c r="B76" s="21"/>
    </row>
    <row r="77" spans="1:9" x14ac:dyDescent="0.25">
      <c r="A77" s="158" t="s">
        <v>218</v>
      </c>
      <c r="B77" s="159" t="s">
        <v>149</v>
      </c>
      <c r="C77" s="160" t="s">
        <v>34</v>
      </c>
      <c r="D77" s="224"/>
    </row>
    <row r="78" spans="1:9" ht="53.25" customHeight="1" x14ac:dyDescent="0.25">
      <c r="A78" s="881" t="str">
        <f t="shared" ref="A78:A83" si="2">A12</f>
        <v>Number of obstetrician (OB) physicians in network that have specialty certification in Maternal Fetal Medicine (MFM) at the time of application submission.</v>
      </c>
      <c r="B78" s="702">
        <v>7</v>
      </c>
      <c r="C78" s="702">
        <f>IF(C12&gt;9, 7, IF(C12&gt;4, 5, IF(C12&gt;0, 2, 0)))</f>
        <v>0</v>
      </c>
    </row>
    <row r="79" spans="1:9" ht="45" x14ac:dyDescent="0.25">
      <c r="A79" s="881" t="str">
        <f t="shared" si="2"/>
        <v>Average rate of Nulliparous, Term, Singleton, Vertex (NTSV) Cesarean Births, as a percentage of all deliveries in CY2022 for all OB physicians in proposed network.</v>
      </c>
      <c r="B79" s="702">
        <v>9</v>
      </c>
      <c r="C79" s="702">
        <f>IF(ISBLANK(C13), 0, IF(C13&gt;0.286, 0, IF(C13&gt;0.256, 1, IF(C13&gt;0.236, 5, 9))))</f>
        <v>0</v>
      </c>
    </row>
    <row r="80" spans="1:9" ht="45" x14ac:dyDescent="0.25">
      <c r="A80" s="881" t="str">
        <f t="shared" si="2"/>
        <v>Number of OB physicians or other OB prescribing health care providers in network who prescribed MAT drugs/therapies during CY2022.</v>
      </c>
      <c r="B80" s="702">
        <v>9</v>
      </c>
      <c r="C80" s="702">
        <f>IF(C14&gt;9,9, IF(C14&gt;4, 5, IF(C14&gt;0, 1, 0)))</f>
        <v>0</v>
      </c>
    </row>
    <row r="81" spans="1:3" x14ac:dyDescent="0.25">
      <c r="A81" s="881" t="str">
        <f t="shared" si="2"/>
        <v>Percent of OB physicians in network that are Black women</v>
      </c>
      <c r="B81" s="702">
        <v>9</v>
      </c>
      <c r="C81" s="702">
        <f>IF(C15&gt;0.085, 9, IF(C15&gt;0.0099,4, 0))</f>
        <v>0</v>
      </c>
    </row>
    <row r="82" spans="1:3" x14ac:dyDescent="0.25">
      <c r="A82" s="881" t="str">
        <f t="shared" si="2"/>
        <v>Percent of OB physicians in network that are Hispanic women</v>
      </c>
      <c r="B82" s="702">
        <v>9</v>
      </c>
      <c r="C82" s="702">
        <f>IF(C16&gt;0.134,9, IF(C16&gt;0.0099, 4, 0))</f>
        <v>0</v>
      </c>
    </row>
    <row r="83" spans="1:3" ht="15" customHeight="1" x14ac:dyDescent="0.25">
      <c r="A83" s="881" t="str">
        <f t="shared" si="2"/>
        <v>Percent of OB physicians who fluently speak English and Spanish</v>
      </c>
      <c r="B83" s="702">
        <v>9</v>
      </c>
      <c r="C83" s="702">
        <f>IF(C17&gt;0.268, 9, IF(C17&gt;0.133, 7, IF(C17&gt;0.0099, 4, 0)))</f>
        <v>0</v>
      </c>
    </row>
    <row r="84" spans="1:3" ht="30" x14ac:dyDescent="0.25">
      <c r="A84" s="33" t="s">
        <v>219</v>
      </c>
      <c r="B84" s="702">
        <v>160</v>
      </c>
      <c r="C84" s="702">
        <f>G51</f>
        <v>0</v>
      </c>
    </row>
    <row r="85" spans="1:3" ht="30" x14ac:dyDescent="0.25">
      <c r="A85" s="33" t="s">
        <v>220</v>
      </c>
      <c r="B85" s="702">
        <v>45</v>
      </c>
      <c r="C85" s="702">
        <f>G67</f>
        <v>0</v>
      </c>
    </row>
    <row r="86" spans="1:3" ht="108.75" customHeight="1" x14ac:dyDescent="0.25">
      <c r="A86" s="881" t="str">
        <f>A67</f>
        <v>Percent of in-network hospitals that are participating in two or more of Florida Perinatal Quality Collaborative’s (FPQC) Quality Initiatives, at the time of application submission, including but not limited to Postpartum Access &amp; Continuity of Care (PACC) Initiative, Perinatal Quality Indicators (PQI), Social Determinants of Health (SDOH) Initiative, or PAIRED Initiative – Family Centered Care in the NICU</v>
      </c>
      <c r="B86" s="702">
        <v>9</v>
      </c>
      <c r="C86" s="702">
        <f>IF(C67&gt;0.75, 9, IF(C67&gt;0.4999, 6, IF(C67&gt;0.2499, 3, 0)))</f>
        <v>0</v>
      </c>
    </row>
    <row r="87" spans="1:3" ht="49.5" customHeight="1" x14ac:dyDescent="0.25">
      <c r="A87" s="881" t="str">
        <f>A68</f>
        <v>Percent of OB physicians in network who submitted at least one Medicaid claim for SBIRT (H0049, H0050, 99408, 99409, G0396, or G0397) in CY2022</v>
      </c>
      <c r="B87" s="702">
        <v>7</v>
      </c>
      <c r="C87" s="702">
        <f>IF(C68&gt;0.05, 7, IF(C68&gt;0.0099, 4, 0))</f>
        <v>0</v>
      </c>
    </row>
    <row r="88" spans="1:3" ht="49.5" customHeight="1" x14ac:dyDescent="0.25">
      <c r="A88" s="881" t="str">
        <f>A69</f>
        <v>Percent of OB physicians in network who had a value-based purchasing agreement with any Medicaid managed care plan in CY2022</v>
      </c>
      <c r="B88" s="702">
        <v>9</v>
      </c>
      <c r="C88" s="702">
        <f>IF(C69&gt;0.5, 9, IF(C69&gt;0.2499, 6, IF(C69&gt;0.0099, 3, 0)))</f>
        <v>0</v>
      </c>
    </row>
    <row r="89" spans="1:3" ht="30" x14ac:dyDescent="0.25">
      <c r="A89" s="881" t="str">
        <f>A72</f>
        <v>Average percent of pregnant women in CY2022 receiving at least two in-person visits by a doula</v>
      </c>
      <c r="B89" s="702">
        <v>9</v>
      </c>
      <c r="C89" s="702">
        <f>SUM(C90:C92)</f>
        <v>0</v>
      </c>
    </row>
    <row r="90" spans="1:3" x14ac:dyDescent="0.25">
      <c r="A90" s="592">
        <f>C70</f>
        <v>0</v>
      </c>
      <c r="B90" s="702">
        <v>3</v>
      </c>
      <c r="C90" s="702">
        <f>IF(C72&gt;0.5, 3, IF(C72&gt;0.2499, 2, IF(C72&gt;0.0499,1, 0)))</f>
        <v>0</v>
      </c>
    </row>
    <row r="91" spans="1:3" x14ac:dyDescent="0.25">
      <c r="A91" s="592">
        <f>D70</f>
        <v>0</v>
      </c>
      <c r="B91" s="702">
        <v>3</v>
      </c>
      <c r="C91" s="702">
        <f>IF(D72&gt;0.5, 3, IF(D72&gt;0.2499, 2, IF(D72&gt;0.0499,1, 0)))</f>
        <v>0</v>
      </c>
    </row>
    <row r="92" spans="1:3" x14ac:dyDescent="0.25">
      <c r="A92" s="593">
        <f>E70</f>
        <v>0</v>
      </c>
      <c r="B92" s="702">
        <v>3</v>
      </c>
      <c r="C92" s="702">
        <f>IF(E72&gt;0.5, 3, IF(E72&gt;0.2499, 2, IF(E72&gt;0.0499,1,  0)))</f>
        <v>0</v>
      </c>
    </row>
    <row r="93" spans="1:3" ht="30" x14ac:dyDescent="0.25">
      <c r="A93" s="881" t="str">
        <f>A73</f>
        <v>Average percent of pregnant women in CY2022 receiving at least one in-person visit by a midwife</v>
      </c>
      <c r="B93" s="702">
        <v>9</v>
      </c>
      <c r="C93" s="702">
        <f>SUM(C94:C96)</f>
        <v>0</v>
      </c>
    </row>
    <row r="94" spans="1:3" x14ac:dyDescent="0.25">
      <c r="A94" s="592">
        <f>C70</f>
        <v>0</v>
      </c>
      <c r="B94" s="702">
        <v>3</v>
      </c>
      <c r="C94" s="702">
        <f>IF(C73&gt;0.25, 3, IF(C73&gt;0.0999, 2, IF(C73&gt;0.0499, 1, 0)))</f>
        <v>0</v>
      </c>
    </row>
    <row r="95" spans="1:3" x14ac:dyDescent="0.25">
      <c r="A95" s="592">
        <f>D70</f>
        <v>0</v>
      </c>
      <c r="B95" s="702">
        <v>3</v>
      </c>
      <c r="C95" s="702">
        <f>IF(D73&gt;0.25, 3, IF(D73&gt;0.0999, 2, IF(D73&gt;0.0499, 1, 0)))</f>
        <v>0</v>
      </c>
    </row>
    <row r="96" spans="1:3" x14ac:dyDescent="0.25">
      <c r="A96" s="593">
        <f>E70</f>
        <v>0</v>
      </c>
      <c r="B96" s="702">
        <v>3</v>
      </c>
      <c r="C96" s="702">
        <f>IF(E73&gt;0.25, 3, IF(E73&gt;0.0999, 2, IF(E73&gt;0.0499, 1, 0)))</f>
        <v>0</v>
      </c>
    </row>
    <row r="97" spans="1:3" x14ac:dyDescent="0.25">
      <c r="A97" s="1112" t="s">
        <v>128</v>
      </c>
      <c r="B97" s="1074"/>
      <c r="C97" s="702">
        <f>SUM(C78:C89,C93)</f>
        <v>0</v>
      </c>
    </row>
  </sheetData>
  <sheetProtection algorithmName="SHA-512" hashValue="1C07Cz/DNMr68ErIo26wm/LmFGPaXKzTMwR73vbgE9NAXPjuKLNnL6bU0CkOOOv+V/Hc4ugJ0E4CeboXHgk2Fw==" saltValue="GH+nadL0KI1UaUkLUS43kw==" spinCount="100000" sheet="1" objects="1" scenarios="1"/>
  <protectedRanges>
    <protectedRange algorithmName="SHA-512" hashValue="BI9V5nAawqdCFboHxf+qkelan97xZMM94/JWByg3mXNUBvT739pIaQDnVkxUjRMqYv7ndLSqi4KUYsNHCOgetw==" saltValue="phuB20qstS+Y0IX4SheL8A==" spinCount="100000" sqref="C12:C69 C72:E73" name="RANGE"/>
  </protectedRanges>
  <mergeCells count="67">
    <mergeCell ref="A40:B40"/>
    <mergeCell ref="A25:B25"/>
    <mergeCell ref="D3:E3"/>
    <mergeCell ref="A11:B11"/>
    <mergeCell ref="A55:B55"/>
    <mergeCell ref="A43:B43"/>
    <mergeCell ref="A44:B44"/>
    <mergeCell ref="A45:B45"/>
    <mergeCell ref="A46:B46"/>
    <mergeCell ref="A47:B47"/>
    <mergeCell ref="A48:B48"/>
    <mergeCell ref="A49:B49"/>
    <mergeCell ref="A50:B50"/>
    <mergeCell ref="A53:B53"/>
    <mergeCell ref="A10:B10"/>
    <mergeCell ref="A54:B54"/>
    <mergeCell ref="A31:B31"/>
    <mergeCell ref="A34:B34"/>
    <mergeCell ref="A35:B35"/>
    <mergeCell ref="A37:B37"/>
    <mergeCell ref="A38:B38"/>
    <mergeCell ref="A33:B33"/>
    <mergeCell ref="A36:B36"/>
    <mergeCell ref="A32:B32"/>
    <mergeCell ref="A26:B26"/>
    <mergeCell ref="A27:B27"/>
    <mergeCell ref="A28:B28"/>
    <mergeCell ref="A29:B29"/>
    <mergeCell ref="A30:B30"/>
    <mergeCell ref="A97:B97"/>
    <mergeCell ref="A72:B72"/>
    <mergeCell ref="A73:B73"/>
    <mergeCell ref="A58:B58"/>
    <mergeCell ref="A51:B51"/>
    <mergeCell ref="A70:B70"/>
    <mergeCell ref="A71:B71"/>
    <mergeCell ref="A68:B68"/>
    <mergeCell ref="A69:B69"/>
    <mergeCell ref="A39:B39"/>
    <mergeCell ref="A75:B75"/>
    <mergeCell ref="A67:B67"/>
    <mergeCell ref="A61:B61"/>
    <mergeCell ref="A62:B62"/>
    <mergeCell ref="A63:B63"/>
    <mergeCell ref="A64:B64"/>
    <mergeCell ref="A65:B65"/>
    <mergeCell ref="A66:B66"/>
    <mergeCell ref="A60:B60"/>
    <mergeCell ref="A59:B59"/>
    <mergeCell ref="A52:B52"/>
    <mergeCell ref="A41:B41"/>
    <mergeCell ref="A56:B56"/>
    <mergeCell ref="A57:B57"/>
    <mergeCell ref="A42:B42"/>
    <mergeCell ref="A12:B12"/>
    <mergeCell ref="A13:B13"/>
    <mergeCell ref="A17:B17"/>
    <mergeCell ref="A19:B19"/>
    <mergeCell ref="A24:B24"/>
    <mergeCell ref="A20:B20"/>
    <mergeCell ref="A21:B21"/>
    <mergeCell ref="A22:B22"/>
    <mergeCell ref="A23:B23"/>
    <mergeCell ref="A15:B15"/>
    <mergeCell ref="A16:B16"/>
    <mergeCell ref="A14:B14"/>
    <mergeCell ref="A18:B18"/>
  </mergeCells>
  <phoneticPr fontId="39" type="noConversion"/>
  <dataValidations count="3">
    <dataValidation type="list" allowBlank="1" showInputMessage="1" showErrorMessage="1" sqref="C52:C66 C19:C50" xr:uid="{98AC9F81-8793-42A8-B9A1-01812404C235}">
      <formula1>$F$18:$F$19</formula1>
    </dataValidation>
    <dataValidation type="whole" allowBlank="1" showInputMessage="1" showErrorMessage="1" sqref="C14 C12" xr:uid="{CAE7CE2C-DF77-480C-974D-026295B09C55}">
      <formula1>0</formula1>
      <formula2>8000000000</formula2>
    </dataValidation>
    <dataValidation type="decimal" allowBlank="1" showInputMessage="1" showErrorMessage="1" sqref="C72:E73 C15:C17 C13 C67:C69" xr:uid="{18F1C19E-7DB0-4E32-8485-CE152B51391F}">
      <formula1>0</formula1>
      <formula2>1</formula2>
    </dataValidation>
  </dataValidations>
  <hyperlinks>
    <hyperlink ref="D3:E3" location="'Birth Outcomes'!A83" display="Click Here to Go to Scoring Table" xr:uid="{4977EACF-10A8-47CA-94AD-89A7E466A134}"/>
    <hyperlink ref="D75" location="'Birth Outcomes'!A1" display="Back to Top" xr:uid="{A7D0493C-1365-4B9F-AB71-C8A4CB5B64A0}"/>
    <hyperlink ref="C1" location="'Respondent Information'!A1" display="Back to Respondent Information" xr:uid="{315BE9B7-4003-4763-A3F2-F18CE0CFEF80}"/>
  </hyperlinks>
  <pageMargins left="0.7" right="0.7" top="0.75" bottom="0.75" header="0.3" footer="0.3"/>
  <pageSetup scale="73" fitToHeight="0" orientation="landscape" r:id="rId1"/>
  <headerFooter>
    <oddHeader>&amp;C&amp;"Arial,Bold"&amp;14EXHIBIT A-5-a-V3
SUBMISSION REQUIREMENTS AND EVALUATION RESPONSE TEMPLATE</oddHeader>
    <oddFooter>&amp;C&amp;"Arial,Bold"AHCA ITN 010-22/23, Attachment A, Exhibit A-5-a-V3, Page &amp;P of &amp;N</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4B021-61EE-4D43-9A19-11894E3B2A88}">
  <sheetPr codeName="Sheet40">
    <tabColor rgb="FFFF0000"/>
  </sheetPr>
  <dimension ref="A1:N3"/>
  <sheetViews>
    <sheetView zoomScaleNormal="100" workbookViewId="0"/>
  </sheetViews>
  <sheetFormatPr defaultRowHeight="15" x14ac:dyDescent="0.25"/>
  <cols>
    <col min="1" max="1" width="9.140625" customWidth="1"/>
  </cols>
  <sheetData>
    <row r="1" spans="1:14" ht="23.25" x14ac:dyDescent="0.35">
      <c r="A1" s="691" t="s">
        <v>221</v>
      </c>
      <c r="B1" s="691"/>
      <c r="C1" s="691"/>
      <c r="D1" s="691"/>
      <c r="E1" s="691"/>
      <c r="F1" s="691"/>
      <c r="G1" s="691"/>
      <c r="H1" s="691"/>
      <c r="I1" s="691"/>
      <c r="J1" s="691"/>
    </row>
    <row r="2" spans="1:14" ht="23.25" x14ac:dyDescent="0.35">
      <c r="A2" s="691" t="s">
        <v>133</v>
      </c>
      <c r="B2" s="691"/>
      <c r="C2" s="691"/>
      <c r="D2" s="691"/>
      <c r="E2" s="691"/>
      <c r="F2" s="691"/>
      <c r="G2" s="691"/>
      <c r="H2" s="691"/>
      <c r="I2" s="691"/>
      <c r="J2" s="691"/>
      <c r="N2" s="392"/>
    </row>
    <row r="3" spans="1:14" ht="18.75" customHeight="1" x14ac:dyDescent="0.25">
      <c r="A3" s="1083" t="s">
        <v>82</v>
      </c>
      <c r="B3" s="1083"/>
      <c r="C3" s="1083"/>
      <c r="D3" s="1083"/>
    </row>
  </sheetData>
  <sheetProtection algorithmName="SHA-512" hashValue="jzE9WkynoJo8TZkxQH+Z+/jPRHpZINeAqn4ah6Vyr1PhgH5pTsmQpZ2tlyx3i0Z0pxG+Wzd0s3em6XxB+a6IfQ==" saltValue="/qSfUnUE5bzbIjKiXadq+w==" spinCount="100000" sheet="1" objects="1" scenarios="1"/>
  <mergeCells count="1">
    <mergeCell ref="A3:D3"/>
  </mergeCells>
  <hyperlinks>
    <hyperlink ref="A3" location="'Respondent Information'!A1" display="Back to Respondent Information" xr:uid="{FA3E4FC9-245E-45E8-BBED-99D75EEB80B7}"/>
  </hyperlinks>
  <pageMargins left="0.7" right="0.7" top="0.75" bottom="0.75" header="0.3" footer="0.3"/>
  <pageSetup orientation="portrait" r:id="rId1"/>
  <headerFooter>
    <oddHeader>&amp;C&amp;"Arial,Bold"&amp;14EXHIBIT A-5-a-V3
SUBMISSION REQUIREMENTS AND EVALUATION RESPONSE TEMPLATE</oddHeader>
    <oddFooter>&amp;C&amp;"Arial,Bold"AHCA ITN 010-22/23, Attachment A, Exhibit A-5-a-V3, 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A7FA4-0BE1-4740-8D38-72C5A9FB7DBE}">
  <sheetPr codeName="Sheet41">
    <tabColor rgb="FFFF0000"/>
    <pageSetUpPr fitToPage="1"/>
  </sheetPr>
  <dimension ref="A1:I56"/>
  <sheetViews>
    <sheetView zoomScaleNormal="100" workbookViewId="0">
      <pane ySplit="10" topLeftCell="A11" activePane="bottomLeft" state="frozen"/>
      <selection sqref="A1:J2"/>
      <selection pane="bottomLeft"/>
    </sheetView>
  </sheetViews>
  <sheetFormatPr defaultRowHeight="15" x14ac:dyDescent="0.25"/>
  <cols>
    <col min="1" max="1" width="71.42578125" customWidth="1"/>
    <col min="2" max="2" width="27.5703125" customWidth="1"/>
    <col min="3" max="3" width="21" customWidth="1"/>
    <col min="4" max="4" width="23.28515625" customWidth="1"/>
    <col min="5" max="5" width="21.42578125" customWidth="1"/>
    <col min="6" max="7" width="9.140625" hidden="1" customWidth="1"/>
    <col min="8" max="8" width="19.85546875" hidden="1" customWidth="1"/>
    <col min="9" max="9" width="9.140625" hidden="1" customWidth="1"/>
  </cols>
  <sheetData>
    <row r="1" spans="1:9" ht="23.25" x14ac:dyDescent="0.35">
      <c r="A1" s="691" t="s">
        <v>222</v>
      </c>
      <c r="C1" s="1055" t="s">
        <v>82</v>
      </c>
      <c r="D1" s="1055"/>
    </row>
    <row r="2" spans="1:9" ht="28.5" x14ac:dyDescent="0.45">
      <c r="A2" s="14"/>
    </row>
    <row r="3" spans="1:9" x14ac:dyDescent="0.25">
      <c r="A3" s="692" t="s">
        <v>84</v>
      </c>
      <c r="B3" s="692" t="s">
        <v>85</v>
      </c>
    </row>
    <row r="4" spans="1:9" x14ac:dyDescent="0.25">
      <c r="A4" s="693" t="s">
        <v>87</v>
      </c>
      <c r="B4" s="179">
        <v>96</v>
      </c>
    </row>
    <row r="5" spans="1:9" x14ac:dyDescent="0.25">
      <c r="A5" s="693" t="s">
        <v>88</v>
      </c>
      <c r="B5" s="222">
        <f>D56</f>
        <v>0</v>
      </c>
      <c r="C5" s="111"/>
      <c r="D5" s="111"/>
      <c r="E5" s="111"/>
      <c r="F5" s="110"/>
      <c r="G5" s="111"/>
      <c r="H5" s="110"/>
      <c r="I5" s="110"/>
    </row>
    <row r="6" spans="1:9" x14ac:dyDescent="0.25">
      <c r="A6" s="413" t="s">
        <v>89</v>
      </c>
      <c r="B6" s="420">
        <f>B5/B4</f>
        <v>0</v>
      </c>
      <c r="C6" s="111"/>
      <c r="D6" s="111"/>
      <c r="E6" s="111"/>
      <c r="F6" s="110"/>
      <c r="G6" s="111"/>
      <c r="H6" s="110"/>
      <c r="I6" s="110"/>
    </row>
    <row r="7" spans="1:9" x14ac:dyDescent="0.25">
      <c r="A7" s="413" t="s">
        <v>135</v>
      </c>
      <c r="B7" s="414">
        <v>250</v>
      </c>
      <c r="C7" s="111"/>
      <c r="D7" s="111"/>
      <c r="E7" s="111"/>
      <c r="F7" s="110"/>
      <c r="G7" s="111"/>
      <c r="H7" s="110"/>
      <c r="I7" s="110"/>
    </row>
    <row r="8" spans="1:9" x14ac:dyDescent="0.25">
      <c r="A8" s="413" t="s">
        <v>223</v>
      </c>
      <c r="B8" s="421">
        <f>B6*B7</f>
        <v>0</v>
      </c>
      <c r="C8" s="111"/>
      <c r="D8" s="111"/>
      <c r="E8" s="111"/>
      <c r="F8" s="110"/>
      <c r="G8" s="111"/>
      <c r="H8" s="110"/>
      <c r="I8" s="110"/>
    </row>
    <row r="9" spans="1:9" ht="15.75" thickBot="1" x14ac:dyDescent="0.3">
      <c r="A9" s="41"/>
      <c r="B9" s="113"/>
      <c r="C9" s="111"/>
      <c r="D9" s="111"/>
      <c r="E9" s="111"/>
      <c r="F9" s="110"/>
      <c r="G9" s="111"/>
      <c r="H9" s="110"/>
      <c r="I9" s="110"/>
    </row>
    <row r="10" spans="1:9" ht="23.25" x14ac:dyDescent="0.35">
      <c r="A10" s="707"/>
      <c r="B10" s="663">
        <f>'Respondent Information'!C6</f>
        <v>0</v>
      </c>
      <c r="C10" s="387">
        <f>'Respondent Information'!C9</f>
        <v>0</v>
      </c>
      <c r="D10" s="664">
        <f>'Respondent Information'!C12</f>
        <v>0</v>
      </c>
    </row>
    <row r="11" spans="1:9" ht="15.75" thickBot="1" x14ac:dyDescent="0.3">
      <c r="A11" s="647" t="s">
        <v>137</v>
      </c>
      <c r="B11" s="385">
        <f>'Respondent Information'!E6</f>
        <v>0</v>
      </c>
      <c r="C11" s="388">
        <f>'Respondent Information'!E9</f>
        <v>0</v>
      </c>
      <c r="D11" s="386">
        <f>'Respondent Information'!E12</f>
        <v>0</v>
      </c>
    </row>
    <row r="12" spans="1:9" ht="30.75" thickBot="1" x14ac:dyDescent="0.3">
      <c r="A12" s="647" t="s">
        <v>224</v>
      </c>
      <c r="B12" s="878"/>
      <c r="C12" s="880"/>
      <c r="D12" s="879"/>
    </row>
    <row r="13" spans="1:9" x14ac:dyDescent="0.25">
      <c r="A13" s="711" t="s">
        <v>225</v>
      </c>
      <c r="B13" s="512"/>
      <c r="C13" s="513"/>
      <c r="D13" s="514"/>
      <c r="F13">
        <f>IF(B13="Yes", 2, 0)</f>
        <v>0</v>
      </c>
      <c r="G13">
        <f t="shared" ref="G13:H13" si="0">IF(C13="Yes", 2, 0)</f>
        <v>0</v>
      </c>
      <c r="H13">
        <f t="shared" si="0"/>
        <v>0</v>
      </c>
    </row>
    <row r="14" spans="1:9" s="122" customFormat="1" x14ac:dyDescent="0.25">
      <c r="A14" s="123" t="s">
        <v>226</v>
      </c>
      <c r="B14" s="539"/>
      <c r="C14" s="540"/>
      <c r="D14" s="541"/>
      <c r="F14"/>
      <c r="G14"/>
      <c r="H14"/>
      <c r="I14" t="s">
        <v>26</v>
      </c>
    </row>
    <row r="15" spans="1:9" s="122" customFormat="1" ht="30" x14ac:dyDescent="0.25">
      <c r="A15" s="124" t="s">
        <v>227</v>
      </c>
      <c r="B15" s="873"/>
      <c r="C15" s="874"/>
      <c r="D15" s="547"/>
      <c r="F15"/>
      <c r="G15"/>
      <c r="H15"/>
      <c r="I15" t="s">
        <v>28</v>
      </c>
    </row>
    <row r="16" spans="1:9" s="122" customFormat="1" ht="30" x14ac:dyDescent="0.25">
      <c r="A16" s="124" t="s">
        <v>228</v>
      </c>
      <c r="B16" s="882">
        <f>IFERROR(B15/B14, 0)</f>
        <v>0</v>
      </c>
      <c r="C16" s="883">
        <f>IFERROR(C15/C14, 0)</f>
        <v>0</v>
      </c>
      <c r="D16" s="884">
        <f>IFERROR(D15/D14, 0)</f>
        <v>0</v>
      </c>
      <c r="F16"/>
      <c r="G16"/>
      <c r="H16"/>
    </row>
    <row r="17" spans="1:8" x14ac:dyDescent="0.25">
      <c r="A17" s="711" t="s">
        <v>229</v>
      </c>
      <c r="B17" s="512"/>
      <c r="C17" s="515"/>
      <c r="D17" s="514"/>
      <c r="F17">
        <f>IF(B17="Yes", 2, 0)</f>
        <v>0</v>
      </c>
      <c r="G17">
        <f t="shared" ref="G17:H18" si="1">IF(C17="Yes", 2, 0)</f>
        <v>0</v>
      </c>
      <c r="H17">
        <f t="shared" si="1"/>
        <v>0</v>
      </c>
    </row>
    <row r="18" spans="1:8" x14ac:dyDescent="0.25">
      <c r="A18" s="711" t="s">
        <v>230</v>
      </c>
      <c r="B18" s="512"/>
      <c r="C18" s="515"/>
      <c r="D18" s="514"/>
      <c r="F18">
        <f>IF(B18="Yes", 2, 0)</f>
        <v>0</v>
      </c>
      <c r="G18">
        <f t="shared" si="1"/>
        <v>0</v>
      </c>
      <c r="H18">
        <f t="shared" si="1"/>
        <v>0</v>
      </c>
    </row>
    <row r="19" spans="1:8" x14ac:dyDescent="0.25">
      <c r="A19" s="124" t="s">
        <v>231</v>
      </c>
      <c r="B19" s="539"/>
      <c r="C19" s="540"/>
      <c r="D19" s="541"/>
    </row>
    <row r="20" spans="1:8" ht="30" x14ac:dyDescent="0.25">
      <c r="A20" s="124" t="s">
        <v>232</v>
      </c>
      <c r="B20" s="539"/>
      <c r="C20" s="540"/>
      <c r="D20" s="541"/>
    </row>
    <row r="21" spans="1:8" ht="30" x14ac:dyDescent="0.25">
      <c r="A21" s="124" t="s">
        <v>233</v>
      </c>
      <c r="B21" s="882">
        <f>IFERROR(B20/B19, 0)</f>
        <v>0</v>
      </c>
      <c r="C21" s="883">
        <f>IFERROR(C20/C19, 0)</f>
        <v>0</v>
      </c>
      <c r="D21" s="884">
        <f>IFERROR(D20/D19, 0)</f>
        <v>0</v>
      </c>
    </row>
    <row r="22" spans="1:8" x14ac:dyDescent="0.25">
      <c r="A22" s="711" t="s">
        <v>234</v>
      </c>
      <c r="B22" s="875"/>
      <c r="C22" s="876"/>
      <c r="D22" s="877"/>
      <c r="F22">
        <f>IF(B22="Yes", 2, 0)</f>
        <v>0</v>
      </c>
      <c r="G22">
        <f t="shared" ref="G22:H22" si="2">IF(C22="Yes", 2, 0)</f>
        <v>0</v>
      </c>
      <c r="H22">
        <f t="shared" si="2"/>
        <v>0</v>
      </c>
    </row>
    <row r="23" spans="1:8" x14ac:dyDescent="0.25">
      <c r="A23" s="711" t="s">
        <v>235</v>
      </c>
      <c r="B23" s="512"/>
      <c r="C23" s="515"/>
      <c r="D23" s="514"/>
      <c r="F23">
        <f t="shared" ref="F23:F36" si="3">IF(B23="Yes", 1, 0)</f>
        <v>0</v>
      </c>
      <c r="G23">
        <f t="shared" ref="G23:H28" si="4">IF(C23="Yes", 1, 0)</f>
        <v>0</v>
      </c>
      <c r="H23">
        <f t="shared" si="4"/>
        <v>0</v>
      </c>
    </row>
    <row r="24" spans="1:8" x14ac:dyDescent="0.25">
      <c r="A24" s="711" t="s">
        <v>236</v>
      </c>
      <c r="B24" s="512"/>
      <c r="C24" s="515"/>
      <c r="D24" s="514"/>
      <c r="F24">
        <f t="shared" si="3"/>
        <v>0</v>
      </c>
      <c r="G24">
        <f t="shared" si="4"/>
        <v>0</v>
      </c>
      <c r="H24">
        <f t="shared" si="4"/>
        <v>0</v>
      </c>
    </row>
    <row r="25" spans="1:8" x14ac:dyDescent="0.25">
      <c r="A25" s="711" t="s">
        <v>237</v>
      </c>
      <c r="B25" s="512"/>
      <c r="C25" s="515"/>
      <c r="D25" s="514"/>
      <c r="F25">
        <f t="shared" si="3"/>
        <v>0</v>
      </c>
      <c r="G25">
        <f t="shared" si="4"/>
        <v>0</v>
      </c>
      <c r="H25">
        <f t="shared" si="4"/>
        <v>0</v>
      </c>
    </row>
    <row r="26" spans="1:8" x14ac:dyDescent="0.25">
      <c r="A26" s="711" t="s">
        <v>238</v>
      </c>
      <c r="B26" s="512"/>
      <c r="C26" s="515"/>
      <c r="D26" s="514"/>
      <c r="F26">
        <f t="shared" si="3"/>
        <v>0</v>
      </c>
      <c r="G26">
        <f t="shared" si="4"/>
        <v>0</v>
      </c>
      <c r="H26">
        <f t="shared" si="4"/>
        <v>0</v>
      </c>
    </row>
    <row r="27" spans="1:8" x14ac:dyDescent="0.25">
      <c r="A27" s="711" t="s">
        <v>239</v>
      </c>
      <c r="B27" s="512"/>
      <c r="C27" s="515"/>
      <c r="D27" s="514"/>
      <c r="F27">
        <f t="shared" si="3"/>
        <v>0</v>
      </c>
      <c r="G27">
        <f t="shared" si="4"/>
        <v>0</v>
      </c>
      <c r="H27">
        <f t="shared" si="4"/>
        <v>0</v>
      </c>
    </row>
    <row r="28" spans="1:8" x14ac:dyDescent="0.25">
      <c r="A28" s="711" t="s">
        <v>240</v>
      </c>
      <c r="B28" s="512"/>
      <c r="C28" s="515"/>
      <c r="D28" s="514"/>
      <c r="F28">
        <f t="shared" si="3"/>
        <v>0</v>
      </c>
      <c r="G28">
        <f t="shared" si="4"/>
        <v>0</v>
      </c>
      <c r="H28">
        <f t="shared" si="4"/>
        <v>0</v>
      </c>
    </row>
    <row r="29" spans="1:8" x14ac:dyDescent="0.25">
      <c r="A29" s="711" t="s">
        <v>241</v>
      </c>
      <c r="B29" s="512"/>
      <c r="C29" s="515"/>
      <c r="D29" s="514"/>
      <c r="F29">
        <f t="shared" si="3"/>
        <v>0</v>
      </c>
      <c r="G29">
        <f t="shared" ref="G29:G36" si="5">IF(C29="Yes", 1, 0)</f>
        <v>0</v>
      </c>
      <c r="H29">
        <f t="shared" ref="H29:H36" si="6">IF(D29="Yes", 1, 0)</f>
        <v>0</v>
      </c>
    </row>
    <row r="30" spans="1:8" x14ac:dyDescent="0.25">
      <c r="A30" s="711" t="s">
        <v>242</v>
      </c>
      <c r="B30" s="512"/>
      <c r="C30" s="515"/>
      <c r="D30" s="514"/>
      <c r="F30">
        <f t="shared" si="3"/>
        <v>0</v>
      </c>
      <c r="G30">
        <f t="shared" si="5"/>
        <v>0</v>
      </c>
      <c r="H30">
        <f t="shared" si="6"/>
        <v>0</v>
      </c>
    </row>
    <row r="31" spans="1:8" x14ac:dyDescent="0.25">
      <c r="A31" s="711" t="s">
        <v>1264</v>
      </c>
      <c r="B31" s="512"/>
      <c r="C31" s="515"/>
      <c r="D31" s="514"/>
      <c r="F31">
        <f t="shared" si="3"/>
        <v>0</v>
      </c>
      <c r="G31">
        <f t="shared" si="5"/>
        <v>0</v>
      </c>
      <c r="H31">
        <f t="shared" si="6"/>
        <v>0</v>
      </c>
    </row>
    <row r="32" spans="1:8" x14ac:dyDescent="0.25">
      <c r="A32" s="711" t="s">
        <v>243</v>
      </c>
      <c r="B32" s="512"/>
      <c r="C32" s="515"/>
      <c r="D32" s="514"/>
      <c r="F32">
        <f t="shared" si="3"/>
        <v>0</v>
      </c>
      <c r="G32">
        <f t="shared" si="5"/>
        <v>0</v>
      </c>
      <c r="H32">
        <f t="shared" si="6"/>
        <v>0</v>
      </c>
    </row>
    <row r="33" spans="1:8" x14ac:dyDescent="0.25">
      <c r="A33" s="711" t="s">
        <v>244</v>
      </c>
      <c r="B33" s="512"/>
      <c r="C33" s="515"/>
      <c r="D33" s="514"/>
      <c r="F33">
        <f t="shared" si="3"/>
        <v>0</v>
      </c>
      <c r="G33">
        <f t="shared" si="5"/>
        <v>0</v>
      </c>
      <c r="H33">
        <f t="shared" si="6"/>
        <v>0</v>
      </c>
    </row>
    <row r="34" spans="1:8" x14ac:dyDescent="0.25">
      <c r="A34" s="711" t="s">
        <v>245</v>
      </c>
      <c r="B34" s="512"/>
      <c r="C34" s="515"/>
      <c r="D34" s="514"/>
      <c r="F34">
        <f t="shared" si="3"/>
        <v>0</v>
      </c>
      <c r="G34">
        <f t="shared" si="5"/>
        <v>0</v>
      </c>
      <c r="H34">
        <f t="shared" si="6"/>
        <v>0</v>
      </c>
    </row>
    <row r="35" spans="1:8" x14ac:dyDescent="0.25">
      <c r="A35" s="711" t="s">
        <v>246</v>
      </c>
      <c r="B35" s="512"/>
      <c r="C35" s="515"/>
      <c r="D35" s="514"/>
      <c r="F35">
        <f t="shared" si="3"/>
        <v>0</v>
      </c>
      <c r="G35">
        <f t="shared" si="5"/>
        <v>0</v>
      </c>
      <c r="H35">
        <f t="shared" si="6"/>
        <v>0</v>
      </c>
    </row>
    <row r="36" spans="1:8" ht="15.75" thickBot="1" x14ac:dyDescent="0.3">
      <c r="A36" s="711" t="s">
        <v>247</v>
      </c>
      <c r="B36" s="512"/>
      <c r="C36" s="518"/>
      <c r="D36" s="514"/>
      <c r="F36">
        <f t="shared" si="3"/>
        <v>0</v>
      </c>
      <c r="G36">
        <f t="shared" si="5"/>
        <v>0</v>
      </c>
      <c r="H36">
        <f t="shared" si="6"/>
        <v>0</v>
      </c>
    </row>
    <row r="37" spans="1:8" x14ac:dyDescent="0.25">
      <c r="F37">
        <f>SUM(F13:F36)</f>
        <v>0</v>
      </c>
      <c r="G37">
        <f t="shared" ref="G37:H37" si="7">SUM(G13:G36)</f>
        <v>0</v>
      </c>
      <c r="H37">
        <f t="shared" si="7"/>
        <v>0</v>
      </c>
    </row>
    <row r="38" spans="1:8" ht="21" x14ac:dyDescent="0.35">
      <c r="A38" s="1056" t="s">
        <v>117</v>
      </c>
      <c r="B38" s="1056"/>
    </row>
    <row r="39" spans="1:8" ht="15.75" thickBot="1" x14ac:dyDescent="0.3"/>
    <row r="40" spans="1:8" x14ac:dyDescent="0.25">
      <c r="A40" s="157" t="s">
        <v>18</v>
      </c>
      <c r="B40" s="157" t="s">
        <v>148</v>
      </c>
      <c r="C40" s="147" t="s">
        <v>149</v>
      </c>
      <c r="D40" s="148" t="s">
        <v>34</v>
      </c>
    </row>
    <row r="41" spans="1:8" x14ac:dyDescent="0.25">
      <c r="A41" s="1118">
        <f>B10</f>
        <v>0</v>
      </c>
      <c r="B41" s="116" t="s">
        <v>248</v>
      </c>
      <c r="C41" s="702">
        <v>22</v>
      </c>
      <c r="D41" s="117">
        <f>F37</f>
        <v>0</v>
      </c>
    </row>
    <row r="42" spans="1:8" ht="60" x14ac:dyDescent="0.25">
      <c r="A42" s="1118"/>
      <c r="B42" s="125" t="s">
        <v>249</v>
      </c>
      <c r="C42" s="702">
        <v>5</v>
      </c>
      <c r="D42" s="26">
        <f>IF(B16&gt;1, "ERROR", IF(B16&gt;0.5, 5, IF(B16&gt;0.24, 3, IF(B16&gt;0, 1, 0))))</f>
        <v>0</v>
      </c>
    </row>
    <row r="43" spans="1:8" ht="75" x14ac:dyDescent="0.25">
      <c r="A43" s="1118"/>
      <c r="B43" s="125" t="s">
        <v>250</v>
      </c>
      <c r="C43" s="702">
        <v>5</v>
      </c>
      <c r="D43" s="26">
        <f>IF(B21&gt;1, "ERROR", IF(B21&gt;0.5, 5, IF(B21&gt;0.24, 3, IF(B21&gt;0, 1, 0))))</f>
        <v>0</v>
      </c>
    </row>
    <row r="44" spans="1:8" ht="15.75" thickBot="1" x14ac:dyDescent="0.3">
      <c r="A44" s="1118"/>
      <c r="B44" s="1120" t="s">
        <v>126</v>
      </c>
      <c r="C44" s="1121"/>
      <c r="D44" s="126">
        <f>SUM(D41:D43)</f>
        <v>0</v>
      </c>
    </row>
    <row r="45" spans="1:8" ht="15.75" thickBot="1" x14ac:dyDescent="0.3">
      <c r="A45" s="1119"/>
      <c r="B45" s="1120" t="s">
        <v>251</v>
      </c>
      <c r="C45" s="1121"/>
      <c r="D45" s="126" t="str">
        <f>IF(B11="Medicaid", D44*1, IF(B11="CHIP", D44*0.9, IF(B11="Medicare", D44*0.8,"Incomplete Data")))</f>
        <v>Incomplete Data</v>
      </c>
    </row>
    <row r="46" spans="1:8" x14ac:dyDescent="0.25">
      <c r="A46" s="1123">
        <f>C10</f>
        <v>0</v>
      </c>
      <c r="B46" s="193" t="s">
        <v>248</v>
      </c>
      <c r="C46" s="189">
        <v>22</v>
      </c>
      <c r="D46" s="188">
        <f>G37</f>
        <v>0</v>
      </c>
    </row>
    <row r="47" spans="1:8" ht="60" x14ac:dyDescent="0.25">
      <c r="A47" s="1123"/>
      <c r="B47" s="202" t="s">
        <v>249</v>
      </c>
      <c r="C47" s="189">
        <v>5</v>
      </c>
      <c r="D47" s="190">
        <f>IF(C16&gt;1, "ERROR", IF(C16&gt;0.5, 5, IF(C16&gt;0.24, 3, IF(C16&gt;0, 1, 0))))</f>
        <v>0</v>
      </c>
    </row>
    <row r="48" spans="1:8" ht="75" x14ac:dyDescent="0.25">
      <c r="A48" s="1123"/>
      <c r="B48" s="202" t="s">
        <v>250</v>
      </c>
      <c r="C48" s="189">
        <v>5</v>
      </c>
      <c r="D48" s="190">
        <f>IF(C21&gt;1, "ERROR", IF(C21&gt;0.5, 5, IF(C21&gt;0.24, 3, IF(C21&gt;0, 1, 0))))</f>
        <v>0</v>
      </c>
    </row>
    <row r="49" spans="1:4" ht="15.75" thickBot="1" x14ac:dyDescent="0.3">
      <c r="A49" s="1123"/>
      <c r="B49" s="1125" t="s">
        <v>126</v>
      </c>
      <c r="C49" s="1126"/>
      <c r="D49" s="191">
        <f>SUM(D46:D48)</f>
        <v>0</v>
      </c>
    </row>
    <row r="50" spans="1:4" ht="15.75" thickBot="1" x14ac:dyDescent="0.3">
      <c r="A50" s="1124"/>
      <c r="B50" s="1120" t="s">
        <v>251</v>
      </c>
      <c r="C50" s="1121"/>
      <c r="D50" s="126" t="str">
        <f>IF(C11="Medicaid", D49*1, IF(C11="CHIP", D49*0.9, IF(C11="Medicare", D49*0.8,"Incomplete Data")))</f>
        <v>Incomplete Data</v>
      </c>
    </row>
    <row r="51" spans="1:4" x14ac:dyDescent="0.25">
      <c r="A51" s="1118">
        <f>D10</f>
        <v>0</v>
      </c>
      <c r="B51" s="116" t="s">
        <v>248</v>
      </c>
      <c r="C51" s="702">
        <v>22</v>
      </c>
      <c r="D51" s="117">
        <f>H37</f>
        <v>0</v>
      </c>
    </row>
    <row r="52" spans="1:4" ht="60" x14ac:dyDescent="0.25">
      <c r="A52" s="1118"/>
      <c r="B52" s="125" t="s">
        <v>249</v>
      </c>
      <c r="C52" s="702">
        <v>5</v>
      </c>
      <c r="D52" s="26">
        <f>IF(D16&gt;1, "ERROR", IF(D16&gt;0.5, 5, IF(D16&gt;0.24, 3, IF(D16&gt;0, 1, 0))))</f>
        <v>0</v>
      </c>
    </row>
    <row r="53" spans="1:4" ht="75" x14ac:dyDescent="0.25">
      <c r="A53" s="1118"/>
      <c r="B53" s="125" t="s">
        <v>250</v>
      </c>
      <c r="C53" s="702">
        <v>5</v>
      </c>
      <c r="D53" s="26">
        <f>IF(D21&gt;1, "ERROR", IF(D21&gt;0.5, 5, IF(D21&gt;0.24, 3, IF(D21&gt;0, 1, 0))))</f>
        <v>0</v>
      </c>
    </row>
    <row r="54" spans="1:4" ht="15.75" thickBot="1" x14ac:dyDescent="0.3">
      <c r="A54" s="1118"/>
      <c r="B54" s="1120" t="s">
        <v>126</v>
      </c>
      <c r="C54" s="1121"/>
      <c r="D54" s="126">
        <f>SUM(D51:D53)</f>
        <v>0</v>
      </c>
    </row>
    <row r="55" spans="1:4" ht="15.75" thickBot="1" x14ac:dyDescent="0.3">
      <c r="A55" s="1119"/>
      <c r="B55" s="1120" t="s">
        <v>251</v>
      </c>
      <c r="C55" s="1121"/>
      <c r="D55" s="126" t="str">
        <f>IF(D11="Medicaid", D54*1, IF(D11="CHIP", D54*0.9, IF(D11="Medicare", D54*0.8,"Incomplete Data")))</f>
        <v>Incomplete Data</v>
      </c>
    </row>
    <row r="56" spans="1:4" ht="15.75" thickBot="1" x14ac:dyDescent="0.3">
      <c r="A56" s="1077" t="s">
        <v>128</v>
      </c>
      <c r="B56" s="1078"/>
      <c r="C56" s="1122"/>
      <c r="D56" s="127">
        <f>SUM(D45,D50,D55)</f>
        <v>0</v>
      </c>
    </row>
  </sheetData>
  <sheetProtection algorithmName="SHA-512" hashValue="0fSdwP1qEBWJPLGCvw6U0I35qK11SMd0u6mZmusLVugRk3TqmmC6vuaW2bkJ7caV1zkCSOVYJrPIjCUGTMrtZQ==" saltValue="tnxe//3F3awy0NCVjeZT8Q==" spinCount="100000" sheet="1" objects="1" scenarios="1"/>
  <protectedRanges>
    <protectedRange algorithmName="SHA-512" hashValue="JwfTnw1z8I62zzHlk1tBQrKBcFH4ECByg7kI/nGdn8gPVThyCEctyO/pNwTAy1vEDXAo7deBrE9Rd13MGRbjiQ==" saltValue="n0ibrUeOKfo9IM8bwrtqNg==" spinCount="100000" sqref="B13:D36" name="Range1"/>
  </protectedRanges>
  <mergeCells count="12">
    <mergeCell ref="C1:D1"/>
    <mergeCell ref="A51:A55"/>
    <mergeCell ref="B54:C54"/>
    <mergeCell ref="A56:C56"/>
    <mergeCell ref="A38:B38"/>
    <mergeCell ref="A41:A45"/>
    <mergeCell ref="B44:C44"/>
    <mergeCell ref="A46:A50"/>
    <mergeCell ref="B49:C49"/>
    <mergeCell ref="B45:C45"/>
    <mergeCell ref="B50:C50"/>
    <mergeCell ref="B55:C55"/>
  </mergeCells>
  <dataValidations count="3">
    <dataValidation type="list" allowBlank="1" showInputMessage="1" showErrorMessage="1" sqref="B13:D13 B22:D36 B17:D18" xr:uid="{878EA7F8-B826-4594-A0D7-10088C29DEC9}">
      <formula1>$I$14:$I$15</formula1>
    </dataValidation>
    <dataValidation type="whole" allowBlank="1" showInputMessage="1" showErrorMessage="1" sqref="B14:D15" xr:uid="{82CE98A4-2DC5-4B44-B49A-77C8BD67B9BD}">
      <formula1>0</formula1>
      <formula2>8000000000</formula2>
    </dataValidation>
    <dataValidation type="whole" allowBlank="1" showInputMessage="1" showErrorMessage="1" sqref="B19:D20" xr:uid="{26F0C306-EF42-4B52-90CF-365EAB166576}">
      <formula1>0</formula1>
      <formula2>800000000</formula2>
    </dataValidation>
  </dataValidations>
  <hyperlinks>
    <hyperlink ref="C1:D1" location="'Respondent Information'!A1" display="Back to Respondent Information" xr:uid="{61964B63-5034-4849-B69C-8796B84DB8EE}"/>
  </hyperlinks>
  <pageMargins left="0.7" right="0.7" top="0.75" bottom="0.75" header="0.3" footer="0.3"/>
  <pageSetup scale="85" fitToHeight="0" orientation="landscape" r:id="rId1"/>
  <headerFooter>
    <oddHeader>&amp;C&amp;"Arial,Bold"&amp;14EXHIBIT A-5-a-V3
SUBMISSION REQUIREMENTS AND EVALUATION RESPONSE TEMPLATE</oddHeader>
    <oddFooter>&amp;C&amp;"Arial,Bold"AHCA ITN 010-22/23, Attachment A, Exhibit A-5-a-V3, Page &amp;P of &amp;N</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6DD80-97AA-4599-8F1E-9DBE27BE3366}">
  <sheetPr codeName="Sheet21">
    <tabColor rgb="FF7030A0"/>
  </sheetPr>
  <dimension ref="A1:N31"/>
  <sheetViews>
    <sheetView zoomScaleNormal="100" workbookViewId="0"/>
  </sheetViews>
  <sheetFormatPr defaultRowHeight="15" x14ac:dyDescent="0.25"/>
  <cols>
    <col min="1" max="1" width="60.5703125" customWidth="1"/>
    <col min="2" max="2" width="7.28515625" customWidth="1"/>
    <col min="3" max="3" width="7.140625" customWidth="1"/>
    <col min="4" max="4" width="7.42578125" customWidth="1"/>
    <col min="17" max="17" width="62.42578125" bestFit="1" customWidth="1"/>
  </cols>
  <sheetData>
    <row r="1" spans="1:14" ht="23.25" x14ac:dyDescent="0.35">
      <c r="A1" s="691" t="s">
        <v>252</v>
      </c>
      <c r="B1" s="691"/>
      <c r="C1" s="691"/>
      <c r="D1" s="691"/>
      <c r="E1" s="416" t="s">
        <v>253</v>
      </c>
      <c r="F1" s="691"/>
      <c r="G1" s="691"/>
      <c r="H1" s="691"/>
      <c r="I1" s="691"/>
      <c r="N1" s="416" t="s">
        <v>253</v>
      </c>
    </row>
    <row r="2" spans="1:14" ht="15" customHeight="1" x14ac:dyDescent="0.35">
      <c r="A2" s="691"/>
      <c r="B2" s="691"/>
      <c r="C2" s="691"/>
      <c r="D2" s="691"/>
      <c r="E2" s="691"/>
      <c r="F2" s="691"/>
      <c r="G2" s="691"/>
      <c r="H2" s="691"/>
      <c r="I2" s="691"/>
    </row>
    <row r="3" spans="1:14" x14ac:dyDescent="0.25">
      <c r="A3" s="391" t="s">
        <v>82</v>
      </c>
    </row>
    <row r="21" spans="1:4" ht="24" customHeight="1" x14ac:dyDescent="0.25"/>
    <row r="27" spans="1:4" x14ac:dyDescent="0.25">
      <c r="A27" s="150" t="s">
        <v>254</v>
      </c>
      <c r="B27" s="150">
        <v>2019</v>
      </c>
      <c r="C27" s="150">
        <v>2020</v>
      </c>
      <c r="D27" s="150">
        <v>2021</v>
      </c>
    </row>
    <row r="28" spans="1:4" x14ac:dyDescent="0.25">
      <c r="A28" s="33" t="s">
        <v>255</v>
      </c>
      <c r="B28" s="702">
        <v>0.81440000000000001</v>
      </c>
      <c r="C28" s="702">
        <v>0.877</v>
      </c>
      <c r="D28" s="702">
        <v>0.878</v>
      </c>
    </row>
    <row r="29" spans="1:4" x14ac:dyDescent="0.25">
      <c r="A29" s="33" t="s">
        <v>256</v>
      </c>
      <c r="B29" s="702">
        <v>0.78539999999999999</v>
      </c>
      <c r="C29" s="702">
        <v>0.88060000000000005</v>
      </c>
      <c r="D29" s="702">
        <v>0.90980000000000005</v>
      </c>
    </row>
    <row r="30" spans="1:4" x14ac:dyDescent="0.25">
      <c r="A30" s="33" t="s">
        <v>257</v>
      </c>
      <c r="B30" s="702">
        <v>0.8377</v>
      </c>
      <c r="C30" s="702">
        <v>0.89680000000000004</v>
      </c>
      <c r="D30" s="702">
        <v>0.86529999999999996</v>
      </c>
    </row>
    <row r="31" spans="1:4" ht="30" x14ac:dyDescent="0.25">
      <c r="A31" s="33" t="s">
        <v>258</v>
      </c>
      <c r="B31" s="702">
        <v>0.24809999999999999</v>
      </c>
      <c r="C31" s="702">
        <v>0.34439999999999998</v>
      </c>
      <c r="D31" s="702">
        <v>0.44769999999999999</v>
      </c>
    </row>
  </sheetData>
  <sheetProtection algorithmName="SHA-512" hashValue="luuGU4F+jzS2erH8nwRHZHbeL0PH2snrM+SUFR5hm/Kjok66QQDNw8jA/I7xmZroA51Lu0EHDhAwM8S/NMGMPw==" saltValue="2YN7ZjJvMk3ZEdF0RS6GBQ==" spinCount="100000" sheet="1" objects="1" scenarios="1"/>
  <hyperlinks>
    <hyperlink ref="A3" location="'Respondent Information'!A1" display="Back to Respondent Information" xr:uid="{33246AE6-33E4-4128-ADE7-806019B5FE11}"/>
  </hyperlinks>
  <pageMargins left="0.7" right="0.7" top="0.75" bottom="0.75" header="0.3" footer="0.3"/>
  <pageSetup orientation="portrait" r:id="rId1"/>
  <headerFooter>
    <oddHeader>&amp;C&amp;"Arial,Bold"&amp;14EXHIBIT A-5-a-V3
SUBMISSION REQUIREMENTS AND EVALUATION RESPONSE TEMPLATE</oddHeader>
    <oddFooter>&amp;C&amp;"Arial,Bold"AHCA ITN 010-22/23, Attachment A, Exhibit A-5-a-V3, 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B7E0C-3D38-4789-B3CD-1CB0C0197A97}">
  <sheetPr codeName="Sheet22">
    <tabColor rgb="FF7030A0"/>
    <pageSetUpPr fitToPage="1"/>
  </sheetPr>
  <dimension ref="A1:AA83"/>
  <sheetViews>
    <sheetView zoomScaleNormal="100" workbookViewId="0">
      <pane ySplit="11" topLeftCell="A12" activePane="bottomLeft" state="frozen"/>
      <selection sqref="A1:I2"/>
      <selection pane="bottomLeft"/>
    </sheetView>
  </sheetViews>
  <sheetFormatPr defaultRowHeight="15" x14ac:dyDescent="0.25"/>
  <cols>
    <col min="1" max="1" width="57.42578125" customWidth="1"/>
    <col min="2" max="9" width="13.85546875" bestFit="1" customWidth="1"/>
    <col min="10" max="10" width="15" customWidth="1"/>
    <col min="11" max="11" width="14.85546875" customWidth="1"/>
    <col min="12" max="12" width="13.85546875" customWidth="1"/>
    <col min="13" max="13" width="16.5703125" customWidth="1"/>
    <col min="14" max="14" width="14.85546875" customWidth="1"/>
    <col min="15" max="15" width="13.85546875" customWidth="1"/>
    <col min="16" max="16" width="15" customWidth="1"/>
    <col min="17" max="18" width="9.140625" customWidth="1"/>
    <col min="19" max="19" width="8.7109375" hidden="1" customWidth="1"/>
    <col min="20" max="20" width="53.7109375" hidden="1" customWidth="1"/>
    <col min="21" max="27" width="9.140625" hidden="1" customWidth="1"/>
  </cols>
  <sheetData>
    <row r="1" spans="1:26" ht="23.25" x14ac:dyDescent="0.35">
      <c r="A1" s="691" t="s">
        <v>259</v>
      </c>
      <c r="C1" s="1055" t="s">
        <v>82</v>
      </c>
      <c r="D1" s="1055"/>
      <c r="E1" s="1055"/>
    </row>
    <row r="3" spans="1:26" x14ac:dyDescent="0.25">
      <c r="A3" s="692" t="s">
        <v>84</v>
      </c>
      <c r="B3" s="692" t="s">
        <v>85</v>
      </c>
    </row>
    <row r="4" spans="1:26" x14ac:dyDescent="0.25">
      <c r="A4" s="693" t="s">
        <v>87</v>
      </c>
      <c r="B4" s="179">
        <v>120</v>
      </c>
    </row>
    <row r="5" spans="1:26" x14ac:dyDescent="0.25">
      <c r="A5" s="693" t="s">
        <v>88</v>
      </c>
      <c r="B5" s="179">
        <f>B70+B83</f>
        <v>0</v>
      </c>
    </row>
    <row r="6" spans="1:26" x14ac:dyDescent="0.25">
      <c r="A6" s="413" t="s">
        <v>89</v>
      </c>
      <c r="B6" s="420">
        <f>B5/B4</f>
        <v>0</v>
      </c>
    </row>
    <row r="7" spans="1:26" x14ac:dyDescent="0.25">
      <c r="A7" s="413" t="s">
        <v>135</v>
      </c>
      <c r="B7" s="414">
        <v>120</v>
      </c>
    </row>
    <row r="8" spans="1:26" x14ac:dyDescent="0.25">
      <c r="A8" s="413" t="s">
        <v>260</v>
      </c>
      <c r="B8" s="421">
        <f>B6*B7</f>
        <v>0</v>
      </c>
    </row>
    <row r="9" spans="1:26" ht="15.75" thickBot="1" x14ac:dyDescent="0.3"/>
    <row r="10" spans="1:26" ht="24" thickBot="1" x14ac:dyDescent="0.4">
      <c r="A10" s="293" t="s">
        <v>18</v>
      </c>
      <c r="B10" s="1187">
        <f>'Respondent Information'!C6</f>
        <v>0</v>
      </c>
      <c r="C10" s="1188"/>
      <c r="D10" s="1189"/>
      <c r="E10" s="1168">
        <f>'Respondent Information'!C9</f>
        <v>0</v>
      </c>
      <c r="F10" s="1169"/>
      <c r="G10" s="1190"/>
      <c r="H10" s="1191">
        <f>'Respondent Information'!C12</f>
        <v>0</v>
      </c>
      <c r="I10" s="1188"/>
      <c r="J10" s="1192"/>
    </row>
    <row r="11" spans="1:26" ht="23.25" x14ac:dyDescent="0.35">
      <c r="A11" s="1193" t="s">
        <v>20</v>
      </c>
      <c r="B11" s="1195">
        <f>'Respondent Information'!E6</f>
        <v>0</v>
      </c>
      <c r="C11" s="1195"/>
      <c r="D11" s="1196"/>
      <c r="E11" s="1197">
        <f>'Respondent Information'!E9</f>
        <v>0</v>
      </c>
      <c r="F11" s="1195"/>
      <c r="G11" s="1196"/>
      <c r="H11" s="1197">
        <f>'Respondent Information'!E12</f>
        <v>0</v>
      </c>
      <c r="I11" s="1195"/>
      <c r="J11" s="1198"/>
      <c r="U11" s="1168" t="s">
        <v>261</v>
      </c>
      <c r="V11" s="1169"/>
      <c r="W11" s="1170"/>
    </row>
    <row r="12" spans="1:26" x14ac:dyDescent="0.25">
      <c r="A12" s="1194"/>
      <c r="B12" s="1195"/>
      <c r="C12" s="1195"/>
      <c r="D12" s="1196"/>
      <c r="E12" s="1197"/>
      <c r="F12" s="1195"/>
      <c r="G12" s="1196"/>
      <c r="H12" s="1197"/>
      <c r="I12" s="1195"/>
      <c r="J12" s="1198"/>
      <c r="U12" s="1171">
        <f>'Respondent Information'!I12</f>
        <v>0</v>
      </c>
      <c r="V12" s="1172"/>
      <c r="W12" s="1173"/>
    </row>
    <row r="13" spans="1:26" x14ac:dyDescent="0.25">
      <c r="A13" s="371" t="s">
        <v>262</v>
      </c>
      <c r="B13" s="697"/>
      <c r="C13" s="697"/>
      <c r="D13" s="699"/>
      <c r="E13" s="700"/>
      <c r="F13" s="697"/>
      <c r="G13" s="699"/>
      <c r="H13" s="700"/>
      <c r="I13" s="697"/>
      <c r="J13" s="698"/>
      <c r="U13" s="1174"/>
      <c r="V13" s="1175"/>
      <c r="W13" s="1176"/>
      <c r="Z13" t="s">
        <v>263</v>
      </c>
    </row>
    <row r="14" spans="1:26" x14ac:dyDescent="0.25">
      <c r="A14" s="371" t="s">
        <v>264</v>
      </c>
      <c r="B14" s="697"/>
      <c r="C14" s="697"/>
      <c r="D14" s="699"/>
      <c r="E14" s="700"/>
      <c r="F14" s="697"/>
      <c r="G14" s="699"/>
      <c r="H14" s="700"/>
      <c r="I14" s="697"/>
      <c r="J14" s="698"/>
      <c r="U14" s="207" t="s">
        <v>265</v>
      </c>
      <c r="V14" s="85" t="s">
        <v>265</v>
      </c>
      <c r="W14" s="86" t="s">
        <v>265</v>
      </c>
      <c r="Z14" s="20" t="s">
        <v>266</v>
      </c>
    </row>
    <row r="15" spans="1:26" x14ac:dyDescent="0.25">
      <c r="A15" s="371" t="s">
        <v>119</v>
      </c>
      <c r="B15" s="678">
        <v>2019</v>
      </c>
      <c r="C15" s="678">
        <v>2020</v>
      </c>
      <c r="D15" s="681">
        <v>2021</v>
      </c>
      <c r="E15" s="682">
        <v>2019</v>
      </c>
      <c r="F15" s="683">
        <v>2020</v>
      </c>
      <c r="G15" s="476">
        <v>2021</v>
      </c>
      <c r="H15" s="677">
        <v>2019</v>
      </c>
      <c r="I15" s="678">
        <v>2020</v>
      </c>
      <c r="J15" s="679">
        <v>2021</v>
      </c>
      <c r="U15" s="207"/>
      <c r="V15" s="85"/>
      <c r="W15" s="86"/>
    </row>
    <row r="16" spans="1:26" x14ac:dyDescent="0.25">
      <c r="A16" s="609" t="s">
        <v>267</v>
      </c>
      <c r="B16" s="72"/>
      <c r="C16" s="72"/>
      <c r="D16" s="206"/>
      <c r="E16" s="90"/>
      <c r="F16" s="72"/>
      <c r="G16" s="206"/>
      <c r="H16" s="90"/>
      <c r="I16" s="72"/>
      <c r="J16" s="75"/>
      <c r="U16" s="682">
        <v>2019</v>
      </c>
      <c r="V16" s="683">
        <v>2020</v>
      </c>
      <c r="W16" s="684">
        <v>2021</v>
      </c>
    </row>
    <row r="17" spans="1:26" ht="15.75" customHeight="1" x14ac:dyDescent="0.25">
      <c r="A17" s="214" t="s">
        <v>268</v>
      </c>
      <c r="B17" s="608"/>
      <c r="C17" s="608"/>
      <c r="D17" s="614"/>
      <c r="E17" s="616"/>
      <c r="F17" s="608"/>
      <c r="G17" s="614"/>
      <c r="H17" s="616"/>
      <c r="I17" s="608"/>
      <c r="J17" s="611"/>
      <c r="U17" s="678" t="s">
        <v>269</v>
      </c>
      <c r="V17" s="678" t="s">
        <v>270</v>
      </c>
      <c r="W17" s="678" t="s">
        <v>271</v>
      </c>
    </row>
    <row r="18" spans="1:26" ht="30" x14ac:dyDescent="0.25">
      <c r="A18" s="214" t="s">
        <v>272</v>
      </c>
      <c r="B18" s="608"/>
      <c r="C18" s="608"/>
      <c r="D18" s="614"/>
      <c r="E18" s="616"/>
      <c r="F18" s="608"/>
      <c r="G18" s="614"/>
      <c r="H18" s="616"/>
      <c r="I18" s="608"/>
      <c r="J18" s="611"/>
      <c r="T18" s="474" t="s">
        <v>268</v>
      </c>
      <c r="U18" s="389">
        <v>0.8</v>
      </c>
      <c r="V18" s="389">
        <v>0.77</v>
      </c>
      <c r="W18" s="389">
        <v>0.76</v>
      </c>
      <c r="Z18">
        <v>1</v>
      </c>
    </row>
    <row r="19" spans="1:26" ht="15.75" customHeight="1" x14ac:dyDescent="0.25">
      <c r="A19" s="214" t="s">
        <v>273</v>
      </c>
      <c r="B19" s="608"/>
      <c r="C19" s="608"/>
      <c r="D19" s="614"/>
      <c r="E19" s="616"/>
      <c r="F19" s="608"/>
      <c r="G19" s="614"/>
      <c r="H19" s="616"/>
      <c r="I19" s="608"/>
      <c r="J19" s="611"/>
      <c r="T19" s="474" t="s">
        <v>272</v>
      </c>
      <c r="U19" s="389">
        <v>0.61</v>
      </c>
      <c r="V19" s="389">
        <v>0.62</v>
      </c>
      <c r="W19" s="389">
        <v>0.6</v>
      </c>
      <c r="Z19">
        <v>2</v>
      </c>
    </row>
    <row r="20" spans="1:26" x14ac:dyDescent="0.25">
      <c r="A20" s="214" t="s">
        <v>274</v>
      </c>
      <c r="B20" s="608"/>
      <c r="C20" s="608"/>
      <c r="D20" s="614"/>
      <c r="E20" s="616"/>
      <c r="F20" s="608"/>
      <c r="G20" s="614"/>
      <c r="H20" s="616"/>
      <c r="I20" s="608"/>
      <c r="J20" s="611"/>
      <c r="T20" s="474" t="s">
        <v>273</v>
      </c>
      <c r="U20" s="389">
        <v>0.55000000000000004</v>
      </c>
      <c r="V20" s="389">
        <v>0.56999999999999995</v>
      </c>
      <c r="W20" s="389">
        <v>0.61</v>
      </c>
      <c r="Z20">
        <v>3</v>
      </c>
    </row>
    <row r="21" spans="1:26" x14ac:dyDescent="0.25">
      <c r="A21" s="214" t="s">
        <v>275</v>
      </c>
      <c r="B21" s="853"/>
      <c r="C21" s="608"/>
      <c r="D21" s="614"/>
      <c r="E21" s="854"/>
      <c r="F21" s="608"/>
      <c r="G21" s="614"/>
      <c r="H21" s="854"/>
      <c r="I21" s="608"/>
      <c r="J21" s="611"/>
      <c r="T21" s="474" t="s">
        <v>274</v>
      </c>
      <c r="U21" s="389">
        <v>0.63</v>
      </c>
      <c r="V21" s="389">
        <v>0.66</v>
      </c>
      <c r="W21" s="389">
        <v>0.65</v>
      </c>
      <c r="Z21">
        <v>4</v>
      </c>
    </row>
    <row r="22" spans="1:26" x14ac:dyDescent="0.25">
      <c r="A22" s="214" t="s">
        <v>276</v>
      </c>
      <c r="B22" s="853"/>
      <c r="C22" s="608"/>
      <c r="D22" s="614"/>
      <c r="E22" s="854"/>
      <c r="F22" s="608"/>
      <c r="G22" s="614"/>
      <c r="H22" s="854"/>
      <c r="I22" s="608"/>
      <c r="J22" s="611"/>
      <c r="T22" s="474" t="s">
        <v>275</v>
      </c>
      <c r="U22" s="389"/>
      <c r="V22" s="389">
        <v>0.53</v>
      </c>
      <c r="W22" s="389">
        <v>0.56999999999999995</v>
      </c>
      <c r="Z22">
        <v>5</v>
      </c>
    </row>
    <row r="23" spans="1:26" x14ac:dyDescent="0.25">
      <c r="A23" s="214" t="s">
        <v>277</v>
      </c>
      <c r="B23" s="853"/>
      <c r="C23" s="608"/>
      <c r="D23" s="614"/>
      <c r="E23" s="854"/>
      <c r="F23" s="608"/>
      <c r="G23" s="614"/>
      <c r="H23" s="854"/>
      <c r="I23" s="608"/>
      <c r="J23" s="611"/>
      <c r="T23" s="474" t="s">
        <v>276</v>
      </c>
      <c r="U23" s="389"/>
      <c r="V23" s="389">
        <v>0.47</v>
      </c>
      <c r="W23" s="389">
        <v>0.52</v>
      </c>
      <c r="Z23">
        <v>6</v>
      </c>
    </row>
    <row r="24" spans="1:26" x14ac:dyDescent="0.25">
      <c r="A24" s="214" t="s">
        <v>278</v>
      </c>
      <c r="B24" s="608"/>
      <c r="C24" s="608"/>
      <c r="D24" s="614"/>
      <c r="E24" s="616"/>
      <c r="F24" s="608"/>
      <c r="G24" s="614"/>
      <c r="H24" s="616"/>
      <c r="I24" s="608"/>
      <c r="J24" s="611"/>
      <c r="T24" s="474" t="s">
        <v>277</v>
      </c>
      <c r="U24" s="389"/>
      <c r="V24" s="389">
        <v>0.27</v>
      </c>
      <c r="W24" s="389">
        <v>0.27</v>
      </c>
      <c r="Z24">
        <v>7</v>
      </c>
    </row>
    <row r="25" spans="1:26" x14ac:dyDescent="0.25">
      <c r="A25" s="214" t="s">
        <v>279</v>
      </c>
      <c r="B25" s="608"/>
      <c r="C25" s="608"/>
      <c r="D25" s="614"/>
      <c r="E25" s="616"/>
      <c r="F25" s="608"/>
      <c r="G25" s="614"/>
      <c r="H25" s="616"/>
      <c r="I25" s="608"/>
      <c r="J25" s="611"/>
      <c r="T25" s="474" t="s">
        <v>278</v>
      </c>
      <c r="U25" s="389">
        <v>0.7</v>
      </c>
      <c r="V25" s="389">
        <v>0.68</v>
      </c>
      <c r="W25" s="389">
        <v>0.63</v>
      </c>
      <c r="Z25">
        <v>8</v>
      </c>
    </row>
    <row r="26" spans="1:26" x14ac:dyDescent="0.25">
      <c r="A26" s="214" t="s">
        <v>280</v>
      </c>
      <c r="B26" s="608"/>
      <c r="C26" s="608"/>
      <c r="D26" s="614"/>
      <c r="E26" s="616"/>
      <c r="F26" s="608"/>
      <c r="G26" s="614"/>
      <c r="H26" s="616"/>
      <c r="I26" s="608"/>
      <c r="J26" s="611"/>
      <c r="T26" s="474" t="s">
        <v>279</v>
      </c>
      <c r="U26" s="389">
        <v>0.49</v>
      </c>
      <c r="V26" s="389">
        <v>0.45</v>
      </c>
      <c r="W26" s="389">
        <v>0.48</v>
      </c>
      <c r="Z26">
        <v>9</v>
      </c>
    </row>
    <row r="27" spans="1:26" ht="30" x14ac:dyDescent="0.25">
      <c r="A27" s="214" t="s">
        <v>281</v>
      </c>
      <c r="B27" s="608"/>
      <c r="C27" s="608"/>
      <c r="D27" s="614"/>
      <c r="E27" s="616"/>
      <c r="F27" s="608"/>
      <c r="G27" s="614"/>
      <c r="H27" s="616"/>
      <c r="I27" s="608"/>
      <c r="J27" s="611"/>
      <c r="T27" s="474" t="s">
        <v>280</v>
      </c>
      <c r="U27" s="389">
        <v>0.61</v>
      </c>
      <c r="V27" s="389">
        <v>0.56000000000000005</v>
      </c>
      <c r="W27" s="389">
        <v>0.59</v>
      </c>
      <c r="Z27">
        <v>10</v>
      </c>
    </row>
    <row r="28" spans="1:26" ht="15" customHeight="1" x14ac:dyDescent="0.25">
      <c r="A28" s="214" t="s">
        <v>282</v>
      </c>
      <c r="B28" s="608"/>
      <c r="C28" s="608"/>
      <c r="D28" s="614"/>
      <c r="E28" s="616"/>
      <c r="F28" s="608"/>
      <c r="G28" s="614"/>
      <c r="H28" s="616"/>
      <c r="I28" s="608"/>
      <c r="J28" s="611"/>
      <c r="T28" s="474" t="s">
        <v>281</v>
      </c>
      <c r="U28" s="389">
        <v>0.36</v>
      </c>
      <c r="V28" s="389">
        <v>0.4</v>
      </c>
      <c r="W28" s="389">
        <v>0.39</v>
      </c>
      <c r="Z28">
        <v>11</v>
      </c>
    </row>
    <row r="29" spans="1:26" x14ac:dyDescent="0.25">
      <c r="A29" s="214" t="s">
        <v>283</v>
      </c>
      <c r="B29" s="608"/>
      <c r="C29" s="608"/>
      <c r="D29" s="614"/>
      <c r="E29" s="616"/>
      <c r="F29" s="608"/>
      <c r="G29" s="614"/>
      <c r="H29" s="616"/>
      <c r="I29" s="608"/>
      <c r="J29" s="611"/>
      <c r="T29" s="474" t="s">
        <v>282</v>
      </c>
      <c r="U29" s="389">
        <v>0.8</v>
      </c>
      <c r="V29" s="389">
        <v>0.8</v>
      </c>
      <c r="W29" s="389">
        <v>0.78</v>
      </c>
    </row>
    <row r="30" spans="1:26" x14ac:dyDescent="0.25">
      <c r="A30" s="214" t="s">
        <v>284</v>
      </c>
      <c r="B30" s="608"/>
      <c r="C30" s="608"/>
      <c r="D30" s="614"/>
      <c r="E30" s="616"/>
      <c r="F30" s="608"/>
      <c r="G30" s="614"/>
      <c r="H30" s="616"/>
      <c r="I30" s="608"/>
      <c r="J30" s="611"/>
      <c r="T30" s="474" t="s">
        <v>283</v>
      </c>
      <c r="U30" s="389">
        <v>0.75</v>
      </c>
      <c r="V30" s="389">
        <v>0.75</v>
      </c>
      <c r="W30" s="389">
        <v>0.76</v>
      </c>
    </row>
    <row r="31" spans="1:26" x14ac:dyDescent="0.25">
      <c r="A31" s="214" t="s">
        <v>285</v>
      </c>
      <c r="B31" s="853"/>
      <c r="C31" s="608"/>
      <c r="D31" s="614"/>
      <c r="E31" s="854"/>
      <c r="F31" s="608"/>
      <c r="G31" s="614"/>
      <c r="H31" s="854"/>
      <c r="I31" s="608"/>
      <c r="J31" s="611"/>
      <c r="T31" s="474" t="s">
        <v>284</v>
      </c>
      <c r="U31" s="389">
        <v>0.87</v>
      </c>
      <c r="V31" s="389">
        <v>0.84</v>
      </c>
      <c r="W31" s="389">
        <v>0.84</v>
      </c>
    </row>
    <row r="32" spans="1:26" ht="15.75" thickBot="1" x14ac:dyDescent="0.3">
      <c r="A32" s="610" t="s">
        <v>286</v>
      </c>
      <c r="B32" s="853"/>
      <c r="C32" s="608"/>
      <c r="D32" s="614"/>
      <c r="E32" s="854"/>
      <c r="F32" s="608"/>
      <c r="G32" s="614"/>
      <c r="H32" s="854"/>
      <c r="I32" s="608"/>
      <c r="J32" s="611"/>
      <c r="T32" s="474" t="s">
        <v>285</v>
      </c>
      <c r="U32" s="389"/>
      <c r="V32" s="389">
        <v>0.53</v>
      </c>
      <c r="W32" s="389">
        <v>0.54</v>
      </c>
    </row>
    <row r="33" spans="1:23" ht="23.25" x14ac:dyDescent="0.35">
      <c r="A33" s="485" t="s">
        <v>18</v>
      </c>
      <c r="B33" s="1181">
        <f>'Respondent Information'!C6</f>
        <v>0</v>
      </c>
      <c r="C33" s="1182"/>
      <c r="D33" s="1182"/>
      <c r="E33" s="1183">
        <f>'Respondent Information'!C9</f>
        <v>0</v>
      </c>
      <c r="F33" s="1184"/>
      <c r="G33" s="1184"/>
      <c r="H33" s="1185">
        <f>'Respondent Information'!C12</f>
        <v>0</v>
      </c>
      <c r="I33" s="1182"/>
      <c r="J33" s="1186"/>
      <c r="K33" s="1177" t="s">
        <v>287</v>
      </c>
      <c r="L33" s="1178"/>
      <c r="M33" s="1179"/>
      <c r="T33" s="474" t="s">
        <v>286</v>
      </c>
      <c r="U33" s="389"/>
      <c r="V33" s="389">
        <v>0.71</v>
      </c>
      <c r="W33" s="389">
        <v>0.66</v>
      </c>
    </row>
    <row r="34" spans="1:23" ht="6.75" customHeight="1" x14ac:dyDescent="0.25">
      <c r="A34" s="1199" t="s">
        <v>262</v>
      </c>
      <c r="B34" s="1201"/>
      <c r="C34" s="1201"/>
      <c r="D34" s="1202"/>
      <c r="E34" s="1203"/>
      <c r="F34" s="1201"/>
      <c r="G34" s="1202"/>
      <c r="H34" s="1203"/>
      <c r="I34" s="1201"/>
      <c r="J34" s="1204"/>
      <c r="K34" s="1180"/>
      <c r="L34" s="1175"/>
      <c r="M34" s="1176"/>
    </row>
    <row r="35" spans="1:23" x14ac:dyDescent="0.25">
      <c r="A35" s="1200"/>
      <c r="B35" s="1201"/>
      <c r="C35" s="1201"/>
      <c r="D35" s="1202"/>
      <c r="E35" s="1203"/>
      <c r="F35" s="1201"/>
      <c r="G35" s="1202"/>
      <c r="H35" s="1203"/>
      <c r="I35" s="1201"/>
      <c r="J35" s="1204"/>
      <c r="K35" s="605" t="s">
        <v>263</v>
      </c>
      <c r="L35" s="87" t="s">
        <v>263</v>
      </c>
      <c r="M35" s="86" t="s">
        <v>263</v>
      </c>
    </row>
    <row r="36" spans="1:23" x14ac:dyDescent="0.25">
      <c r="A36" s="474" t="s">
        <v>264</v>
      </c>
      <c r="B36" s="627"/>
      <c r="C36" s="627"/>
      <c r="D36" s="628"/>
      <c r="E36" s="629"/>
      <c r="F36" s="627"/>
      <c r="G36" s="628"/>
      <c r="H36" s="629"/>
      <c r="I36" s="627"/>
      <c r="J36" s="630"/>
      <c r="K36" s="605"/>
      <c r="L36" s="87"/>
      <c r="M36" s="86"/>
    </row>
    <row r="37" spans="1:23" x14ac:dyDescent="0.25">
      <c r="A37" s="474" t="s">
        <v>119</v>
      </c>
      <c r="B37" s="678">
        <v>2019</v>
      </c>
      <c r="C37" s="678">
        <v>2020</v>
      </c>
      <c r="D37" s="681">
        <v>2021</v>
      </c>
      <c r="E37" s="682">
        <v>2019</v>
      </c>
      <c r="F37" s="683">
        <v>2020</v>
      </c>
      <c r="G37" s="476">
        <v>2021</v>
      </c>
      <c r="H37" s="677">
        <v>2019</v>
      </c>
      <c r="I37" s="678">
        <v>2020</v>
      </c>
      <c r="J37" s="679">
        <v>2021</v>
      </c>
      <c r="K37" s="604">
        <v>2019</v>
      </c>
      <c r="L37" s="683">
        <v>2020</v>
      </c>
      <c r="M37" s="684">
        <v>2021</v>
      </c>
    </row>
    <row r="38" spans="1:23" x14ac:dyDescent="0.25">
      <c r="A38" s="76" t="s">
        <v>288</v>
      </c>
      <c r="B38" s="72"/>
      <c r="C38" s="72"/>
      <c r="D38" s="206"/>
      <c r="E38" s="90"/>
      <c r="F38" s="72"/>
      <c r="G38" s="206"/>
      <c r="H38" s="90"/>
      <c r="I38" s="72"/>
      <c r="J38" s="75"/>
      <c r="K38" s="211"/>
      <c r="L38" s="72"/>
      <c r="M38" s="75"/>
    </row>
    <row r="39" spans="1:23" x14ac:dyDescent="0.25">
      <c r="A39" s="214" t="s">
        <v>255</v>
      </c>
      <c r="B39" s="608"/>
      <c r="C39" s="608"/>
      <c r="D39" s="608"/>
      <c r="E39" s="616"/>
      <c r="F39" s="608"/>
      <c r="G39" s="614"/>
      <c r="H39" s="616"/>
      <c r="I39" s="608"/>
      <c r="J39" s="611"/>
      <c r="K39" s="606">
        <v>0.81440000000000001</v>
      </c>
      <c r="L39" s="205">
        <v>0.877</v>
      </c>
      <c r="M39" s="208">
        <v>0.878</v>
      </c>
    </row>
    <row r="40" spans="1:23" x14ac:dyDescent="0.25">
      <c r="A40" s="214" t="s">
        <v>256</v>
      </c>
      <c r="B40" s="608"/>
      <c r="C40" s="608"/>
      <c r="D40" s="608"/>
      <c r="E40" s="616"/>
      <c r="F40" s="608"/>
      <c r="G40" s="614"/>
      <c r="H40" s="616"/>
      <c r="I40" s="608"/>
      <c r="J40" s="611"/>
      <c r="K40" s="606">
        <v>0.78539999999999999</v>
      </c>
      <c r="L40" s="205">
        <v>0.88060000000000005</v>
      </c>
      <c r="M40" s="208">
        <v>0.90980000000000005</v>
      </c>
    </row>
    <row r="41" spans="1:23" x14ac:dyDescent="0.25">
      <c r="A41" s="214" t="s">
        <v>257</v>
      </c>
      <c r="B41" s="608"/>
      <c r="C41" s="608"/>
      <c r="D41" s="608"/>
      <c r="E41" s="616"/>
      <c r="F41" s="608"/>
      <c r="G41" s="614"/>
      <c r="H41" s="616"/>
      <c r="I41" s="608"/>
      <c r="J41" s="611"/>
      <c r="K41" s="606">
        <v>0.8377</v>
      </c>
      <c r="L41" s="205">
        <v>0.89680000000000004</v>
      </c>
      <c r="M41" s="208">
        <v>0.86529999999999996</v>
      </c>
    </row>
    <row r="42" spans="1:23" ht="30.75" thickBot="1" x14ac:dyDescent="0.3">
      <c r="A42" s="215" t="s">
        <v>258</v>
      </c>
      <c r="B42" s="608"/>
      <c r="C42" s="608"/>
      <c r="D42" s="608"/>
      <c r="E42" s="617"/>
      <c r="F42" s="612"/>
      <c r="G42" s="615"/>
      <c r="H42" s="617"/>
      <c r="I42" s="612"/>
      <c r="J42" s="613"/>
      <c r="K42" s="607">
        <v>0.24809999999999999</v>
      </c>
      <c r="L42" s="209">
        <v>0.34439999999999998</v>
      </c>
      <c r="M42" s="210">
        <v>0.44769999999999999</v>
      </c>
    </row>
    <row r="44" spans="1:23" ht="21" x14ac:dyDescent="0.35">
      <c r="A44" s="1056" t="s">
        <v>117</v>
      </c>
      <c r="B44" s="1056"/>
    </row>
    <row r="45" spans="1:23" ht="15.75" thickBot="1" x14ac:dyDescent="0.3"/>
    <row r="46" spans="1:23" x14ac:dyDescent="0.25">
      <c r="A46" s="1154" t="s">
        <v>289</v>
      </c>
      <c r="B46" s="1158">
        <f>B10</f>
        <v>0</v>
      </c>
      <c r="C46" s="1158"/>
      <c r="D46" s="1158"/>
      <c r="E46" s="1158"/>
      <c r="F46" s="1159"/>
      <c r="G46" s="1160">
        <f>E10</f>
        <v>0</v>
      </c>
      <c r="H46" s="1158"/>
      <c r="I46" s="1158"/>
      <c r="J46" s="1158"/>
      <c r="K46" s="1161"/>
      <c r="L46" s="1167">
        <f>H10</f>
        <v>0</v>
      </c>
      <c r="M46" s="1158"/>
      <c r="N46" s="1158"/>
      <c r="O46" s="1158"/>
      <c r="P46" s="1161"/>
    </row>
    <row r="47" spans="1:23" x14ac:dyDescent="0.25">
      <c r="A47" s="1155"/>
      <c r="B47" s="1150" t="s">
        <v>290</v>
      </c>
      <c r="C47" s="1150"/>
      <c r="D47" s="1150"/>
      <c r="E47" s="1150" t="s">
        <v>291</v>
      </c>
      <c r="F47" s="1151"/>
      <c r="G47" s="1152" t="s">
        <v>290</v>
      </c>
      <c r="H47" s="1150"/>
      <c r="I47" s="1150"/>
      <c r="J47" s="1150" t="s">
        <v>291</v>
      </c>
      <c r="K47" s="1153"/>
      <c r="L47" s="1149" t="s">
        <v>290</v>
      </c>
      <c r="M47" s="1150"/>
      <c r="N47" s="1150"/>
      <c r="O47" s="1150" t="s">
        <v>291</v>
      </c>
      <c r="P47" s="1153"/>
    </row>
    <row r="48" spans="1:23" x14ac:dyDescent="0.25">
      <c r="A48" s="1156"/>
      <c r="B48" s="150">
        <v>2019</v>
      </c>
      <c r="C48" s="150">
        <v>2020</v>
      </c>
      <c r="D48" s="150">
        <v>2021</v>
      </c>
      <c r="E48" s="150">
        <v>2020</v>
      </c>
      <c r="F48" s="212">
        <v>2021</v>
      </c>
      <c r="G48" s="173">
        <v>2019</v>
      </c>
      <c r="H48" s="150">
        <v>2020</v>
      </c>
      <c r="I48" s="150">
        <v>2021</v>
      </c>
      <c r="J48" s="150">
        <v>2020</v>
      </c>
      <c r="K48" s="172">
        <v>2021</v>
      </c>
      <c r="L48" s="213">
        <v>2019</v>
      </c>
      <c r="M48" s="150">
        <v>2020</v>
      </c>
      <c r="N48" s="150">
        <v>2021</v>
      </c>
      <c r="O48" s="150">
        <v>2020</v>
      </c>
      <c r="P48" s="172">
        <v>2021</v>
      </c>
    </row>
    <row r="49" spans="1:16" ht="30" x14ac:dyDescent="0.25">
      <c r="A49" s="32" t="s">
        <v>268</v>
      </c>
      <c r="B49" s="702">
        <f>IF(B17&gt;U18, 2, 0)</f>
        <v>0</v>
      </c>
      <c r="C49" s="702">
        <f t="shared" ref="C49:C64" si="0">IF(C17&gt;V18, 2, 0)</f>
        <v>0</v>
      </c>
      <c r="D49" s="702">
        <f t="shared" ref="D49:D64" si="1">IF(D17&gt;W18, 2, 0)</f>
        <v>0</v>
      </c>
      <c r="E49" s="702">
        <f>IF(OR(ISBLANK(B17),B17=0),0,IF(C17&gt;B17, 2,0))</f>
        <v>0</v>
      </c>
      <c r="F49" s="702">
        <f>IF(   OR(ISBLANK(C17),C17=0),  IF(OR(ISBLANK(B17),B17=0), 0, IF(D17&gt;B17, 2,0)),   IF(D17&gt;C17, 2,0)   )</f>
        <v>0</v>
      </c>
      <c r="G49" s="92">
        <f t="shared" ref="G49:G62" si="2">IF(E17&gt;U18, 2, 0)</f>
        <v>0</v>
      </c>
      <c r="H49" s="702">
        <f t="shared" ref="H49:H64" si="3">IF(F17&gt;V18, 2, 0)</f>
        <v>0</v>
      </c>
      <c r="I49" s="702">
        <f t="shared" ref="I49:I64" si="4">IF(G17&gt;W18, 2, 0)</f>
        <v>0</v>
      </c>
      <c r="J49" s="702">
        <f t="shared" ref="J49:J52" si="5">IF(OR(ISBLANK(E17),E17=0),0,IF(F17&gt;E17, 2,0))</f>
        <v>0</v>
      </c>
      <c r="K49" s="26">
        <f>IF(   OR(ISBLANK(F17),F17=0),  IF(OR(ISBLANK(E17),E17=0), 0, IF(G17&gt;E17, 2,0)),   IF(G17&gt;F17, 2,0)   )</f>
        <v>0</v>
      </c>
      <c r="L49" s="141">
        <f>IF(H17&gt;U18, 2, 0)</f>
        <v>0</v>
      </c>
      <c r="M49" s="702">
        <f t="shared" ref="M49:M64" si="6">IF(I17&gt;V18, 2, 0)</f>
        <v>0</v>
      </c>
      <c r="N49" s="702">
        <f>IF(J17&gt;W18, 2, 0)</f>
        <v>0</v>
      </c>
      <c r="O49" s="702">
        <f>IF(OR(ISBLANK(H17),H17=0),0,IF(I17&gt;H17, 2,0))</f>
        <v>0</v>
      </c>
      <c r="P49" s="26">
        <f>IF(   OR(ISBLANK(I17),I17=0),  IF(OR(ISBLANK(H17),H17=0), 0, IF(J17&gt;H17, 2,0)),   IF(J17&gt;I17, 2,0)   )</f>
        <v>0</v>
      </c>
    </row>
    <row r="50" spans="1:16" ht="30" x14ac:dyDescent="0.25">
      <c r="A50" s="32" t="s">
        <v>272</v>
      </c>
      <c r="B50" s="702">
        <f t="shared" ref="B50:B62" si="7">IF(B18&gt;U19, 2, 0)</f>
        <v>0</v>
      </c>
      <c r="C50" s="702">
        <f t="shared" si="0"/>
        <v>0</v>
      </c>
      <c r="D50" s="702">
        <f t="shared" si="1"/>
        <v>0</v>
      </c>
      <c r="E50" s="702">
        <f>IF(OR(ISBLANK(B18),B18=0),0,IF(C18&gt;B18, 2,0))</f>
        <v>0</v>
      </c>
      <c r="F50" s="702">
        <f t="shared" ref="F50:F64" si="8">IF(   OR(ISBLANK(C18),C18=0),  IF(OR(ISBLANK(B18),B18=0), 0, IF(D18&gt;B18, 2,0)),   IF(D18&gt;C18, 2,0)   )</f>
        <v>0</v>
      </c>
      <c r="G50" s="92">
        <f t="shared" si="2"/>
        <v>0</v>
      </c>
      <c r="H50" s="702">
        <f t="shared" si="3"/>
        <v>0</v>
      </c>
      <c r="I50" s="702">
        <f t="shared" si="4"/>
        <v>0</v>
      </c>
      <c r="J50" s="702">
        <f t="shared" si="5"/>
        <v>0</v>
      </c>
      <c r="K50" s="26">
        <f t="shared" ref="K50:K64" si="9">IF(   OR(ISBLANK(F18),F18=0),  IF(OR(ISBLANK(E18),E18=0), 0, IF(G18&gt;E18, 2,0)),   IF(G18&gt;F18, 2,0)   )</f>
        <v>0</v>
      </c>
      <c r="L50" s="141">
        <f>IF(H18&gt;U19, 2, 0)</f>
        <v>0</v>
      </c>
      <c r="M50" s="702">
        <f t="shared" si="6"/>
        <v>0</v>
      </c>
      <c r="N50" s="702">
        <f>IF(J18&gt;W19, 2, 0)</f>
        <v>0</v>
      </c>
      <c r="O50" s="702">
        <f>IF(OR(ISBLANK(H18),H18=0),0,IF(I18&gt;H18, 2,0))</f>
        <v>0</v>
      </c>
      <c r="P50" s="26">
        <f>IF(   OR(ISBLANK(I18),I18=0),  IF(OR(ISBLANK(H18),H18=0), 0, IF(J18&gt;H18, 2,0)),   IF(J18&gt;I18, 2,0)   )</f>
        <v>0</v>
      </c>
    </row>
    <row r="51" spans="1:16" x14ac:dyDescent="0.25">
      <c r="A51" s="32" t="s">
        <v>273</v>
      </c>
      <c r="B51" s="702">
        <f t="shared" si="7"/>
        <v>0</v>
      </c>
      <c r="C51" s="702">
        <f t="shared" si="0"/>
        <v>0</v>
      </c>
      <c r="D51" s="702">
        <f t="shared" si="1"/>
        <v>0</v>
      </c>
      <c r="E51" s="702">
        <f>IF(OR(ISBLANK(B19),B19=0),0,IF(C19&gt;B19, 2,0))</f>
        <v>0</v>
      </c>
      <c r="F51" s="702">
        <f t="shared" si="8"/>
        <v>0</v>
      </c>
      <c r="G51" s="92">
        <f t="shared" si="2"/>
        <v>0</v>
      </c>
      <c r="H51" s="702">
        <f t="shared" si="3"/>
        <v>0</v>
      </c>
      <c r="I51" s="702">
        <f t="shared" si="4"/>
        <v>0</v>
      </c>
      <c r="J51" s="702">
        <f t="shared" si="5"/>
        <v>0</v>
      </c>
      <c r="K51" s="26">
        <f t="shared" si="9"/>
        <v>0</v>
      </c>
      <c r="L51" s="141">
        <f>IF(H19&gt;U20, 2, 0)</f>
        <v>0</v>
      </c>
      <c r="M51" s="702">
        <f t="shared" si="6"/>
        <v>0</v>
      </c>
      <c r="N51" s="702">
        <f>IF(J19&gt;W20, 2, 0)</f>
        <v>0</v>
      </c>
      <c r="O51" s="702">
        <f>IF(OR(ISBLANK(H19),H19=0),0,IF(I19&gt;H19, 2,0))</f>
        <v>0</v>
      </c>
      <c r="P51" s="26">
        <f>IF(   OR(ISBLANK(I19),I19=0),  IF(OR(ISBLANK(H19),H19=0), 0, IF(J19&gt;H19, 2,0)),   IF(J19&gt;I19, 2,0)   )</f>
        <v>0</v>
      </c>
    </row>
    <row r="52" spans="1:16" x14ac:dyDescent="0.25">
      <c r="A52" s="32" t="s">
        <v>274</v>
      </c>
      <c r="B52" s="702">
        <f t="shared" si="7"/>
        <v>0</v>
      </c>
      <c r="C52" s="702">
        <f>IF(C20&gt;V21, 2, 0)</f>
        <v>0</v>
      </c>
      <c r="D52" s="702">
        <f t="shared" si="1"/>
        <v>0</v>
      </c>
      <c r="E52" s="702">
        <f>IF(OR(ISBLANK(B20),B20=0),0,IF(C20&gt;B20, 2,0))</f>
        <v>0</v>
      </c>
      <c r="F52" s="702">
        <f t="shared" si="8"/>
        <v>0</v>
      </c>
      <c r="G52" s="92">
        <f t="shared" si="2"/>
        <v>0</v>
      </c>
      <c r="H52" s="702">
        <f t="shared" si="3"/>
        <v>0</v>
      </c>
      <c r="I52" s="702">
        <f t="shared" si="4"/>
        <v>0</v>
      </c>
      <c r="J52" s="702">
        <f t="shared" si="5"/>
        <v>0</v>
      </c>
      <c r="K52" s="26">
        <f t="shared" si="9"/>
        <v>0</v>
      </c>
      <c r="L52" s="141">
        <f>IF(H20&gt;U21, 2, 0)</f>
        <v>0</v>
      </c>
      <c r="M52" s="702">
        <f t="shared" si="6"/>
        <v>0</v>
      </c>
      <c r="N52" s="702">
        <f>IF(J20&gt;W21, 2, 0)</f>
        <v>0</v>
      </c>
      <c r="O52" s="702">
        <f>IF(OR(ISBLANK(H20),H20=0),0,IF(I20&gt;H20, 2,0))</f>
        <v>0</v>
      </c>
      <c r="P52" s="26">
        <f>IF(   OR(ISBLANK(I20),I20=0),  IF(OR(ISBLANK(H20),H20=0), 0, IF(J20&gt;H20, 2,0)),   IF(J20&gt;I20, 2,0)   )</f>
        <v>0</v>
      </c>
    </row>
    <row r="53" spans="1:16" x14ac:dyDescent="0.25">
      <c r="A53" s="32" t="s">
        <v>275</v>
      </c>
      <c r="B53" s="72"/>
      <c r="C53" s="702">
        <f t="shared" si="0"/>
        <v>0</v>
      </c>
      <c r="D53" s="702">
        <f t="shared" si="1"/>
        <v>0</v>
      </c>
      <c r="E53" s="72"/>
      <c r="F53" s="702">
        <f t="shared" si="8"/>
        <v>0</v>
      </c>
      <c r="G53" s="90"/>
      <c r="H53" s="702">
        <f t="shared" si="3"/>
        <v>0</v>
      </c>
      <c r="I53" s="702">
        <f t="shared" si="4"/>
        <v>0</v>
      </c>
      <c r="J53" s="72"/>
      <c r="K53" s="26">
        <f t="shared" si="9"/>
        <v>0</v>
      </c>
      <c r="L53" s="211"/>
      <c r="M53" s="702">
        <f t="shared" si="6"/>
        <v>0</v>
      </c>
      <c r="N53" s="702">
        <f t="shared" ref="N53:N64" si="10">IF(J21&gt;W22, 2, 0)</f>
        <v>0</v>
      </c>
      <c r="O53" s="72"/>
      <c r="P53" s="26">
        <f t="shared" ref="P53:P64" si="11">IF(   OR(ISBLANK(I21),I21=0),  IF(OR(ISBLANK(H21),H21=0), 0, IF(J21&gt;H21, 2,0)),   IF(J21&gt;I21, 2,0)   )</f>
        <v>0</v>
      </c>
    </row>
    <row r="54" spans="1:16" x14ac:dyDescent="0.25">
      <c r="A54" s="32" t="s">
        <v>276</v>
      </c>
      <c r="B54" s="72"/>
      <c r="C54" s="702">
        <f t="shared" si="0"/>
        <v>0</v>
      </c>
      <c r="D54" s="702">
        <f t="shared" si="1"/>
        <v>0</v>
      </c>
      <c r="E54" s="72"/>
      <c r="F54" s="702">
        <f t="shared" si="8"/>
        <v>0</v>
      </c>
      <c r="G54" s="90"/>
      <c r="H54" s="702">
        <f t="shared" si="3"/>
        <v>0</v>
      </c>
      <c r="I54" s="702">
        <f t="shared" si="4"/>
        <v>0</v>
      </c>
      <c r="J54" s="72"/>
      <c r="K54" s="26">
        <f t="shared" si="9"/>
        <v>0</v>
      </c>
      <c r="L54" s="211"/>
      <c r="M54" s="702">
        <f t="shared" si="6"/>
        <v>0</v>
      </c>
      <c r="N54" s="702">
        <f t="shared" si="10"/>
        <v>0</v>
      </c>
      <c r="O54" s="72"/>
      <c r="P54" s="26">
        <f t="shared" si="11"/>
        <v>0</v>
      </c>
    </row>
    <row r="55" spans="1:16" x14ac:dyDescent="0.25">
      <c r="A55" s="32" t="s">
        <v>277</v>
      </c>
      <c r="B55" s="72"/>
      <c r="C55" s="702">
        <f t="shared" si="0"/>
        <v>0</v>
      </c>
      <c r="D55" s="702">
        <f t="shared" si="1"/>
        <v>0</v>
      </c>
      <c r="E55" s="72"/>
      <c r="F55" s="702">
        <f t="shared" si="8"/>
        <v>0</v>
      </c>
      <c r="G55" s="90"/>
      <c r="H55" s="702">
        <f t="shared" si="3"/>
        <v>0</v>
      </c>
      <c r="I55" s="702">
        <f t="shared" si="4"/>
        <v>0</v>
      </c>
      <c r="J55" s="72"/>
      <c r="K55" s="26">
        <f t="shared" si="9"/>
        <v>0</v>
      </c>
      <c r="L55" s="211"/>
      <c r="M55" s="702">
        <f t="shared" si="6"/>
        <v>0</v>
      </c>
      <c r="N55" s="702">
        <f t="shared" si="10"/>
        <v>0</v>
      </c>
      <c r="O55" s="72"/>
      <c r="P55" s="26">
        <f t="shared" si="11"/>
        <v>0</v>
      </c>
    </row>
    <row r="56" spans="1:16" x14ac:dyDescent="0.25">
      <c r="A56" s="32" t="s">
        <v>278</v>
      </c>
      <c r="B56" s="702">
        <f t="shared" si="7"/>
        <v>0</v>
      </c>
      <c r="C56" s="702">
        <f t="shared" si="0"/>
        <v>0</v>
      </c>
      <c r="D56" s="702">
        <f t="shared" si="1"/>
        <v>0</v>
      </c>
      <c r="E56" s="702">
        <f t="shared" ref="E56:E62" si="12">IF(OR(ISBLANK(B24),B24=0),0,IF(C24&gt;B24, 2,0))</f>
        <v>0</v>
      </c>
      <c r="F56" s="702">
        <f t="shared" si="8"/>
        <v>0</v>
      </c>
      <c r="G56" s="92">
        <f t="shared" si="2"/>
        <v>0</v>
      </c>
      <c r="H56" s="702">
        <f t="shared" si="3"/>
        <v>0</v>
      </c>
      <c r="I56" s="702">
        <f t="shared" si="4"/>
        <v>0</v>
      </c>
      <c r="J56" s="702">
        <f t="shared" ref="J56:J62" si="13">IF(OR(ISBLANK(E24),E24=0),0,IF(F24&gt;E24, 2,0))</f>
        <v>0</v>
      </c>
      <c r="K56" s="26">
        <f t="shared" si="9"/>
        <v>0</v>
      </c>
      <c r="L56" s="141">
        <f t="shared" ref="L56:L62" si="14">IF(H24&gt;U25, 2, 0)</f>
        <v>0</v>
      </c>
      <c r="M56" s="702">
        <f t="shared" si="6"/>
        <v>0</v>
      </c>
      <c r="N56" s="702">
        <f t="shared" si="10"/>
        <v>0</v>
      </c>
      <c r="O56" s="702">
        <f t="shared" ref="O56:O62" si="15">IF(OR(ISBLANK(H24),H24=0),0,IF(I24&gt;H24, 2,0))</f>
        <v>0</v>
      </c>
      <c r="P56" s="26">
        <f t="shared" si="11"/>
        <v>0</v>
      </c>
    </row>
    <row r="57" spans="1:16" x14ac:dyDescent="0.25">
      <c r="A57" s="32" t="s">
        <v>279</v>
      </c>
      <c r="B57" s="702">
        <f t="shared" si="7"/>
        <v>0</v>
      </c>
      <c r="C57" s="702">
        <f t="shared" si="0"/>
        <v>0</v>
      </c>
      <c r="D57" s="702">
        <f t="shared" si="1"/>
        <v>0</v>
      </c>
      <c r="E57" s="702">
        <f t="shared" si="12"/>
        <v>0</v>
      </c>
      <c r="F57" s="702">
        <f t="shared" si="8"/>
        <v>0</v>
      </c>
      <c r="G57" s="92">
        <f t="shared" si="2"/>
        <v>0</v>
      </c>
      <c r="H57" s="702">
        <f t="shared" si="3"/>
        <v>0</v>
      </c>
      <c r="I57" s="702">
        <f t="shared" si="4"/>
        <v>0</v>
      </c>
      <c r="J57" s="702">
        <f t="shared" si="13"/>
        <v>0</v>
      </c>
      <c r="K57" s="26">
        <f t="shared" si="9"/>
        <v>0</v>
      </c>
      <c r="L57" s="141">
        <f t="shared" si="14"/>
        <v>0</v>
      </c>
      <c r="M57" s="702">
        <f t="shared" si="6"/>
        <v>0</v>
      </c>
      <c r="N57" s="702">
        <f t="shared" si="10"/>
        <v>0</v>
      </c>
      <c r="O57" s="702">
        <f t="shared" si="15"/>
        <v>0</v>
      </c>
      <c r="P57" s="26">
        <f t="shared" si="11"/>
        <v>0</v>
      </c>
    </row>
    <row r="58" spans="1:16" x14ac:dyDescent="0.25">
      <c r="A58" s="32" t="s">
        <v>280</v>
      </c>
      <c r="B58" s="702">
        <f t="shared" si="7"/>
        <v>0</v>
      </c>
      <c r="C58" s="702">
        <f t="shared" si="0"/>
        <v>0</v>
      </c>
      <c r="D58" s="702">
        <f t="shared" si="1"/>
        <v>0</v>
      </c>
      <c r="E58" s="702">
        <f t="shared" si="12"/>
        <v>0</v>
      </c>
      <c r="F58" s="702">
        <f t="shared" si="8"/>
        <v>0</v>
      </c>
      <c r="G58" s="92">
        <f t="shared" si="2"/>
        <v>0</v>
      </c>
      <c r="H58" s="702">
        <f t="shared" si="3"/>
        <v>0</v>
      </c>
      <c r="I58" s="702">
        <f t="shared" si="4"/>
        <v>0</v>
      </c>
      <c r="J58" s="702">
        <f t="shared" si="13"/>
        <v>0</v>
      </c>
      <c r="K58" s="26">
        <f t="shared" si="9"/>
        <v>0</v>
      </c>
      <c r="L58" s="141">
        <f t="shared" si="14"/>
        <v>0</v>
      </c>
      <c r="M58" s="702">
        <f t="shared" si="6"/>
        <v>0</v>
      </c>
      <c r="N58" s="702">
        <f t="shared" si="10"/>
        <v>0</v>
      </c>
      <c r="O58" s="702">
        <f t="shared" si="15"/>
        <v>0</v>
      </c>
      <c r="P58" s="26">
        <f t="shared" si="11"/>
        <v>0</v>
      </c>
    </row>
    <row r="59" spans="1:16" ht="30" x14ac:dyDescent="0.25">
      <c r="A59" s="32" t="s">
        <v>281</v>
      </c>
      <c r="B59" s="702">
        <f t="shared" si="7"/>
        <v>0</v>
      </c>
      <c r="C59" s="702">
        <f t="shared" si="0"/>
        <v>0</v>
      </c>
      <c r="D59" s="702">
        <f t="shared" si="1"/>
        <v>0</v>
      </c>
      <c r="E59" s="702">
        <f t="shared" si="12"/>
        <v>0</v>
      </c>
      <c r="F59" s="702">
        <f t="shared" si="8"/>
        <v>0</v>
      </c>
      <c r="G59" s="92">
        <f t="shared" si="2"/>
        <v>0</v>
      </c>
      <c r="H59" s="702">
        <f t="shared" si="3"/>
        <v>0</v>
      </c>
      <c r="I59" s="702">
        <f t="shared" si="4"/>
        <v>0</v>
      </c>
      <c r="J59" s="702">
        <f t="shared" si="13"/>
        <v>0</v>
      </c>
      <c r="K59" s="26">
        <f t="shared" si="9"/>
        <v>0</v>
      </c>
      <c r="L59" s="141">
        <f t="shared" si="14"/>
        <v>0</v>
      </c>
      <c r="M59" s="702">
        <f t="shared" si="6"/>
        <v>0</v>
      </c>
      <c r="N59" s="702">
        <f t="shared" si="10"/>
        <v>0</v>
      </c>
      <c r="O59" s="702">
        <f t="shared" si="15"/>
        <v>0</v>
      </c>
      <c r="P59" s="26">
        <f t="shared" si="11"/>
        <v>0</v>
      </c>
    </row>
    <row r="60" spans="1:16" x14ac:dyDescent="0.25">
      <c r="A60" s="32" t="s">
        <v>282</v>
      </c>
      <c r="B60" s="702">
        <f t="shared" si="7"/>
        <v>0</v>
      </c>
      <c r="C60" s="702">
        <f t="shared" si="0"/>
        <v>0</v>
      </c>
      <c r="D60" s="702">
        <f t="shared" si="1"/>
        <v>0</v>
      </c>
      <c r="E60" s="702">
        <f t="shared" si="12"/>
        <v>0</v>
      </c>
      <c r="F60" s="702">
        <f t="shared" si="8"/>
        <v>0</v>
      </c>
      <c r="G60" s="92">
        <f t="shared" si="2"/>
        <v>0</v>
      </c>
      <c r="H60" s="702">
        <f t="shared" si="3"/>
        <v>0</v>
      </c>
      <c r="I60" s="702">
        <f t="shared" si="4"/>
        <v>0</v>
      </c>
      <c r="J60" s="702">
        <f t="shared" si="13"/>
        <v>0</v>
      </c>
      <c r="K60" s="26">
        <f t="shared" si="9"/>
        <v>0</v>
      </c>
      <c r="L60" s="141">
        <f t="shared" si="14"/>
        <v>0</v>
      </c>
      <c r="M60" s="702">
        <f t="shared" si="6"/>
        <v>0</v>
      </c>
      <c r="N60" s="702">
        <f t="shared" si="10"/>
        <v>0</v>
      </c>
      <c r="O60" s="702">
        <f t="shared" si="15"/>
        <v>0</v>
      </c>
      <c r="P60" s="26">
        <f t="shared" si="11"/>
        <v>0</v>
      </c>
    </row>
    <row r="61" spans="1:16" x14ac:dyDescent="0.25">
      <c r="A61" s="32" t="s">
        <v>283</v>
      </c>
      <c r="B61" s="702">
        <f t="shared" si="7"/>
        <v>0</v>
      </c>
      <c r="C61" s="702">
        <f t="shared" si="0"/>
        <v>0</v>
      </c>
      <c r="D61" s="702">
        <f t="shared" si="1"/>
        <v>0</v>
      </c>
      <c r="E61" s="702">
        <f t="shared" si="12"/>
        <v>0</v>
      </c>
      <c r="F61" s="702">
        <f t="shared" si="8"/>
        <v>0</v>
      </c>
      <c r="G61" s="92">
        <f>IF(E29&gt;U30, 2, 0)</f>
        <v>0</v>
      </c>
      <c r="H61" s="702">
        <f t="shared" si="3"/>
        <v>0</v>
      </c>
      <c r="I61" s="702">
        <f t="shared" si="4"/>
        <v>0</v>
      </c>
      <c r="J61" s="702">
        <f t="shared" si="13"/>
        <v>0</v>
      </c>
      <c r="K61" s="26">
        <f t="shared" si="9"/>
        <v>0</v>
      </c>
      <c r="L61" s="141">
        <f t="shared" si="14"/>
        <v>0</v>
      </c>
      <c r="M61" s="702">
        <f t="shared" si="6"/>
        <v>0</v>
      </c>
      <c r="N61" s="702">
        <f t="shared" si="10"/>
        <v>0</v>
      </c>
      <c r="O61" s="702">
        <f t="shared" si="15"/>
        <v>0</v>
      </c>
      <c r="P61" s="26">
        <f t="shared" si="11"/>
        <v>0</v>
      </c>
    </row>
    <row r="62" spans="1:16" x14ac:dyDescent="0.25">
      <c r="A62" s="32" t="s">
        <v>284</v>
      </c>
      <c r="B62" s="702">
        <f t="shared" si="7"/>
        <v>0</v>
      </c>
      <c r="C62" s="702">
        <f t="shared" si="0"/>
        <v>0</v>
      </c>
      <c r="D62" s="702">
        <f t="shared" si="1"/>
        <v>0</v>
      </c>
      <c r="E62" s="702">
        <f t="shared" si="12"/>
        <v>0</v>
      </c>
      <c r="F62" s="702">
        <f t="shared" si="8"/>
        <v>0</v>
      </c>
      <c r="G62" s="92">
        <f t="shared" si="2"/>
        <v>0</v>
      </c>
      <c r="H62" s="702">
        <f t="shared" si="3"/>
        <v>0</v>
      </c>
      <c r="I62" s="702">
        <f t="shared" si="4"/>
        <v>0</v>
      </c>
      <c r="J62" s="702">
        <f t="shared" si="13"/>
        <v>0</v>
      </c>
      <c r="K62" s="26">
        <f t="shared" si="9"/>
        <v>0</v>
      </c>
      <c r="L62" s="141">
        <f t="shared" si="14"/>
        <v>0</v>
      </c>
      <c r="M62" s="702">
        <f t="shared" si="6"/>
        <v>0</v>
      </c>
      <c r="N62" s="702">
        <f t="shared" si="10"/>
        <v>0</v>
      </c>
      <c r="O62" s="702">
        <f t="shared" si="15"/>
        <v>0</v>
      </c>
      <c r="P62" s="26">
        <f t="shared" si="11"/>
        <v>0</v>
      </c>
    </row>
    <row r="63" spans="1:16" x14ac:dyDescent="0.25">
      <c r="A63" s="32" t="s">
        <v>285</v>
      </c>
      <c r="B63" s="72"/>
      <c r="C63" s="702">
        <f t="shared" si="0"/>
        <v>0</v>
      </c>
      <c r="D63" s="702">
        <f t="shared" si="1"/>
        <v>0</v>
      </c>
      <c r="E63" s="72"/>
      <c r="F63" s="702">
        <f t="shared" si="8"/>
        <v>0</v>
      </c>
      <c r="G63" s="90"/>
      <c r="H63" s="702">
        <f t="shared" si="3"/>
        <v>0</v>
      </c>
      <c r="I63" s="702">
        <f t="shared" si="4"/>
        <v>0</v>
      </c>
      <c r="J63" s="72"/>
      <c r="K63" s="26">
        <f t="shared" si="9"/>
        <v>0</v>
      </c>
      <c r="L63" s="211"/>
      <c r="M63" s="702">
        <f t="shared" si="6"/>
        <v>0</v>
      </c>
      <c r="N63" s="702">
        <f t="shared" si="10"/>
        <v>0</v>
      </c>
      <c r="O63" s="72"/>
      <c r="P63" s="26">
        <f t="shared" si="11"/>
        <v>0</v>
      </c>
    </row>
    <row r="64" spans="1:16" x14ac:dyDescent="0.25">
      <c r="A64" s="32" t="s">
        <v>286</v>
      </c>
      <c r="B64" s="72"/>
      <c r="C64" s="702">
        <f t="shared" si="0"/>
        <v>0</v>
      </c>
      <c r="D64" s="702">
        <f t="shared" si="1"/>
        <v>0</v>
      </c>
      <c r="E64" s="72"/>
      <c r="F64" s="702">
        <f t="shared" si="8"/>
        <v>0</v>
      </c>
      <c r="G64" s="90"/>
      <c r="H64" s="702">
        <f t="shared" si="3"/>
        <v>0</v>
      </c>
      <c r="I64" s="702">
        <f t="shared" si="4"/>
        <v>0</v>
      </c>
      <c r="J64" s="72"/>
      <c r="K64" s="26">
        <f t="shared" si="9"/>
        <v>0</v>
      </c>
      <c r="L64" s="211"/>
      <c r="M64" s="702">
        <f t="shared" si="6"/>
        <v>0</v>
      </c>
      <c r="N64" s="702">
        <f t="shared" si="10"/>
        <v>0</v>
      </c>
      <c r="O64" s="72"/>
      <c r="P64" s="26">
        <f t="shared" si="11"/>
        <v>0</v>
      </c>
    </row>
    <row r="65" spans="1:16" x14ac:dyDescent="0.25">
      <c r="A65" s="32" t="s">
        <v>292</v>
      </c>
      <c r="B65" s="1163">
        <f>SUM(B49:F64)</f>
        <v>0</v>
      </c>
      <c r="C65" s="1163"/>
      <c r="D65" s="1163"/>
      <c r="E65" s="1163"/>
      <c r="F65" s="1164"/>
      <c r="G65" s="1165">
        <f>SUM(G49:K64)</f>
        <v>0</v>
      </c>
      <c r="H65" s="1163"/>
      <c r="I65" s="1163"/>
      <c r="J65" s="1163"/>
      <c r="K65" s="1166"/>
      <c r="L65" s="1117">
        <f>SUM(L49:P64)</f>
        <v>0</v>
      </c>
      <c r="M65" s="1139"/>
      <c r="N65" s="1139"/>
      <c r="O65" s="1139"/>
      <c r="P65" s="1141"/>
    </row>
    <row r="66" spans="1:16" x14ac:dyDescent="0.25">
      <c r="A66" s="32" t="s">
        <v>293</v>
      </c>
      <c r="B66" s="1139">
        <f>IF(B11=0,0, IF(B11="CHIP", B65*0.9, IF(B11="Medicare", B65*0.8, IF(B11="Medicaid", B65))))</f>
        <v>0</v>
      </c>
      <c r="C66" s="1139"/>
      <c r="D66" s="1139"/>
      <c r="E66" s="1139"/>
      <c r="F66" s="1116"/>
      <c r="G66" s="1140">
        <f>IF(E11=0, 0, IF(E11="CHIP", G65*0.9, IF(E11="Medicare", G65*0.8, IF(E11="Medicaid", G65))))</f>
        <v>0</v>
      </c>
      <c r="H66" s="1139"/>
      <c r="I66" s="1139"/>
      <c r="J66" s="1139"/>
      <c r="K66" s="1141"/>
      <c r="L66" s="1117">
        <f>IF(H11=0, 0, IF(H11="CHIP", L65*0.9, IF(H11="Medicare", L65*0.8, IF(H11="Medicaid", L65))))</f>
        <v>0</v>
      </c>
      <c r="M66" s="1139"/>
      <c r="N66" s="1139"/>
      <c r="O66" s="1139"/>
      <c r="P66" s="1141"/>
    </row>
    <row r="67" spans="1:16" ht="15.75" thickBot="1" x14ac:dyDescent="0.3">
      <c r="A67" s="216" t="s">
        <v>294</v>
      </c>
      <c r="B67" s="1063">
        <f>IF(AND(B10="Florida", D14&gt;8), B66, IF(AND(B10="Florida", D14&gt;4), B66*0.9, IF(AND(B10="Florida", D14&gt;0), B66*0.8, IF(AND(B10&lt;&gt;"Florida", D13="Statewide"), B66, B66*0.8))))</f>
        <v>0</v>
      </c>
      <c r="C67" s="1063"/>
      <c r="D67" s="1063"/>
      <c r="E67" s="1063"/>
      <c r="F67" s="1157"/>
      <c r="G67" s="1133">
        <f>IF(AND(E10="Florida", G14&gt;8), G66, IF(AND(E10="Florida", G14&gt;4), G66*0.9, IF(AND(E10="Florida", G14&gt;0), G66*0.8, IF(AND(E10&lt;&gt;"Florida", G13="Statewide"), G66, G66*0.8))))</f>
        <v>0</v>
      </c>
      <c r="H67" s="1134"/>
      <c r="I67" s="1134"/>
      <c r="J67" s="1134"/>
      <c r="K67" s="1135"/>
      <c r="L67" s="1162">
        <f>IF(AND(H10="Florida", J14&gt;8), L66, IF(AND(H10="Florida", J14&gt;4), L66*0.9, IF(AND(H10="Florida", J14&gt;0), L66*0.8, IF(AND(H10&lt;&gt;"Florida", J13="Statewide"), L66, L66*0.8))))</f>
        <v>0</v>
      </c>
      <c r="M67" s="1063"/>
      <c r="N67" s="1063"/>
      <c r="O67" s="1063"/>
      <c r="P67" s="1143"/>
    </row>
    <row r="68" spans="1:16" x14ac:dyDescent="0.25">
      <c r="A68" s="217" t="s">
        <v>295</v>
      </c>
      <c r="B68" s="1127">
        <f>SUM(B67:P67)</f>
        <v>0</v>
      </c>
      <c r="C68" s="1128"/>
      <c r="D68" s="1128"/>
      <c r="E68" s="1128"/>
      <c r="F68" s="1128"/>
      <c r="G68" s="1128"/>
      <c r="H68" s="1128"/>
      <c r="I68" s="1128"/>
      <c r="J68" s="1128"/>
      <c r="K68" s="1128"/>
      <c r="L68" s="1128"/>
      <c r="M68" s="1128"/>
      <c r="N68" s="1128"/>
      <c r="O68" s="1128"/>
      <c r="P68" s="1129"/>
    </row>
    <row r="69" spans="1:16" x14ac:dyDescent="0.25">
      <c r="A69" s="218" t="s">
        <v>296</v>
      </c>
      <c r="B69" s="1130">
        <f>B68/420</f>
        <v>0</v>
      </c>
      <c r="C69" s="1131"/>
      <c r="D69" s="1131"/>
      <c r="E69" s="1131"/>
      <c r="F69" s="1131"/>
      <c r="G69" s="1131"/>
      <c r="H69" s="1131"/>
      <c r="I69" s="1131"/>
      <c r="J69" s="1131"/>
      <c r="K69" s="1131"/>
      <c r="L69" s="1131"/>
      <c r="M69" s="1131"/>
      <c r="N69" s="1131"/>
      <c r="O69" s="1131"/>
      <c r="P69" s="1132"/>
    </row>
    <row r="70" spans="1:16" ht="15.75" thickBot="1" x14ac:dyDescent="0.3">
      <c r="A70" s="219" t="s">
        <v>297</v>
      </c>
      <c r="B70" s="1133">
        <f>ROUNDDOWN(100*B69, 0)</f>
        <v>0</v>
      </c>
      <c r="C70" s="1134"/>
      <c r="D70" s="1134"/>
      <c r="E70" s="1134"/>
      <c r="F70" s="1134"/>
      <c r="G70" s="1134"/>
      <c r="H70" s="1134"/>
      <c r="I70" s="1134"/>
      <c r="J70" s="1134"/>
      <c r="K70" s="1134"/>
      <c r="L70" s="1134"/>
      <c r="M70" s="1134"/>
      <c r="N70" s="1134"/>
      <c r="O70" s="1134"/>
      <c r="P70" s="1135"/>
    </row>
    <row r="71" spans="1:16" ht="15.75" thickBot="1" x14ac:dyDescent="0.3"/>
    <row r="72" spans="1:16" x14ac:dyDescent="0.25">
      <c r="A72" s="1136" t="s">
        <v>298</v>
      </c>
      <c r="B72" s="1144">
        <f>B10</f>
        <v>0</v>
      </c>
      <c r="C72" s="1145"/>
      <c r="D72" s="1145"/>
      <c r="E72" s="1145"/>
      <c r="F72" s="1146"/>
      <c r="G72" s="1147">
        <f>E10</f>
        <v>0</v>
      </c>
      <c r="H72" s="1145"/>
      <c r="I72" s="1145"/>
      <c r="J72" s="1145"/>
      <c r="K72" s="1148"/>
      <c r="L72" s="1144">
        <f>H10</f>
        <v>0</v>
      </c>
      <c r="M72" s="1145"/>
      <c r="N72" s="1145"/>
      <c r="O72" s="1145"/>
      <c r="P72" s="1148"/>
    </row>
    <row r="73" spans="1:16" x14ac:dyDescent="0.25">
      <c r="A73" s="1137"/>
      <c r="B73" s="1149" t="s">
        <v>299</v>
      </c>
      <c r="C73" s="1150"/>
      <c r="D73" s="1150"/>
      <c r="E73" s="1150" t="s">
        <v>291</v>
      </c>
      <c r="F73" s="1151"/>
      <c r="G73" s="1152" t="s">
        <v>299</v>
      </c>
      <c r="H73" s="1150"/>
      <c r="I73" s="1150"/>
      <c r="J73" s="1150" t="s">
        <v>291</v>
      </c>
      <c r="K73" s="1153"/>
      <c r="L73" s="1149" t="s">
        <v>299</v>
      </c>
      <c r="M73" s="1150"/>
      <c r="N73" s="1150"/>
      <c r="O73" s="1150" t="s">
        <v>291</v>
      </c>
      <c r="P73" s="1153"/>
    </row>
    <row r="74" spans="1:16" x14ac:dyDescent="0.25">
      <c r="A74" s="1138"/>
      <c r="B74" s="213">
        <v>2019</v>
      </c>
      <c r="C74" s="150">
        <v>2020</v>
      </c>
      <c r="D74" s="150">
        <v>2021</v>
      </c>
      <c r="E74" s="150">
        <v>2020</v>
      </c>
      <c r="F74" s="212">
        <v>2021</v>
      </c>
      <c r="G74" s="173">
        <v>2019</v>
      </c>
      <c r="H74" s="150">
        <v>2020</v>
      </c>
      <c r="I74" s="150">
        <v>2021</v>
      </c>
      <c r="J74" s="150">
        <v>2020</v>
      </c>
      <c r="K74" s="172">
        <v>2021</v>
      </c>
      <c r="L74" s="213">
        <v>2019</v>
      </c>
      <c r="M74" s="150">
        <v>2020</v>
      </c>
      <c r="N74" s="150">
        <v>2021</v>
      </c>
      <c r="O74" s="150">
        <v>2020</v>
      </c>
      <c r="P74" s="172">
        <v>2021</v>
      </c>
    </row>
    <row r="75" spans="1:16" x14ac:dyDescent="0.25">
      <c r="A75" s="218" t="s">
        <v>255</v>
      </c>
      <c r="B75" s="141">
        <f t="shared" ref="B75:C78" si="16">IF(B39&gt;K39, 2, 0)</f>
        <v>0</v>
      </c>
      <c r="C75" s="702">
        <f t="shared" si="16"/>
        <v>0</v>
      </c>
      <c r="D75" s="702">
        <f t="shared" ref="D75:D78" si="17">IF(D39&gt;M39, 2, 0)</f>
        <v>0</v>
      </c>
      <c r="E75" s="702">
        <f>IF(OR(ISBLANK(B39),B39=0),0,IF(C39&gt;B39, 2,0))</f>
        <v>0</v>
      </c>
      <c r="F75" s="702">
        <f>IF(   OR(ISBLANK(C39),C39=0),  IF(OR(ISBLANK(B39),B39=0), 0, IF(D39&gt;B39, 2,0)),   IF(D39&gt;C39, 2,0)   )</f>
        <v>0</v>
      </c>
      <c r="G75" s="92">
        <f t="shared" ref="G75:I78" si="18">IF(E39&gt;K39, 2, 0)</f>
        <v>0</v>
      </c>
      <c r="H75" s="702">
        <f t="shared" si="18"/>
        <v>0</v>
      </c>
      <c r="I75" s="702">
        <f t="shared" si="18"/>
        <v>0</v>
      </c>
      <c r="J75" s="702">
        <f>IF(OR(ISBLANK(E39),E39=0),0,IF(F39&gt;E39, 2,0))</f>
        <v>0</v>
      </c>
      <c r="K75" s="26">
        <f>IF(   OR(ISBLANK(F39),F39=0),  IF(OR(ISBLANK(E39),E39=0), 0, IF(G39&gt;E39, 2,0)),   IF(G39&gt;F39, 2,0)   )</f>
        <v>0</v>
      </c>
      <c r="L75" s="141">
        <f t="shared" ref="L75:N78" si="19">IF(H39&gt;K39, 2, 0)</f>
        <v>0</v>
      </c>
      <c r="M75" s="702">
        <f t="shared" si="19"/>
        <v>0</v>
      </c>
      <c r="N75" s="702">
        <f t="shared" si="19"/>
        <v>0</v>
      </c>
      <c r="O75" s="702">
        <f>IF(OR(ISBLANK(H39),H39=0),0,IF(I39&gt;H39, 2,0))</f>
        <v>0</v>
      </c>
      <c r="P75" s="26">
        <f>IF(   OR(ISBLANK(I39),I39=0),  IF(OR(ISBLANK(H39),H39=0), 0, IF(J39&gt;H39, 2,0)),   IF(J39&gt;I39, 2,0)   )</f>
        <v>0</v>
      </c>
    </row>
    <row r="76" spans="1:16" x14ac:dyDescent="0.25">
      <c r="A76" s="218" t="s">
        <v>256</v>
      </c>
      <c r="B76" s="141">
        <f t="shared" si="16"/>
        <v>0</v>
      </c>
      <c r="C76" s="702">
        <f t="shared" si="16"/>
        <v>0</v>
      </c>
      <c r="D76" s="702">
        <f t="shared" si="17"/>
        <v>0</v>
      </c>
      <c r="E76" s="702">
        <f>IF(OR(ISBLANK(B40),B40=0),0,IF(C40&gt;B40, 2,0))</f>
        <v>0</v>
      </c>
      <c r="F76" s="702">
        <f>IF(   OR(ISBLANK(C40),C40=0),  IF(OR(ISBLANK(B40),B40=0), 0, IF(D40&gt;B40, 2,0)),   IF(D40&gt;C40, 2,0)   )</f>
        <v>0</v>
      </c>
      <c r="G76" s="92">
        <f t="shared" si="18"/>
        <v>0</v>
      </c>
      <c r="H76" s="702">
        <f t="shared" si="18"/>
        <v>0</v>
      </c>
      <c r="I76" s="702">
        <f t="shared" si="18"/>
        <v>0</v>
      </c>
      <c r="J76" s="702">
        <f>IF(OR(ISBLANK(E40),E40=0),0,IF(F40&gt;E40, 2,0))</f>
        <v>0</v>
      </c>
      <c r="K76" s="26">
        <f>IF(   OR(ISBLANK(F40),F40=0),  IF(OR(ISBLANK(E40),E40=0), 0, IF(G40&gt;E40, 2,0)),   IF(G40&gt;F40, 2,0)   )</f>
        <v>0</v>
      </c>
      <c r="L76" s="141">
        <f t="shared" si="19"/>
        <v>0</v>
      </c>
      <c r="M76" s="702">
        <f t="shared" si="19"/>
        <v>0</v>
      </c>
      <c r="N76" s="702">
        <f t="shared" si="19"/>
        <v>0</v>
      </c>
      <c r="O76" s="702">
        <f>IF(OR(ISBLANK(H40),H40=0),0,IF(I40&gt;H40, 2,0))</f>
        <v>0</v>
      </c>
      <c r="P76" s="26">
        <f>IF(   OR(ISBLANK(I40),I40=0),  IF(OR(ISBLANK(H40),H40=0), 0, IF(J40&gt;H40, 2,0)),   IF(J40&gt;I40, 2,0)   )</f>
        <v>0</v>
      </c>
    </row>
    <row r="77" spans="1:16" x14ac:dyDescent="0.25">
      <c r="A77" s="218" t="s">
        <v>257</v>
      </c>
      <c r="B77" s="141">
        <f t="shared" si="16"/>
        <v>0</v>
      </c>
      <c r="C77" s="702">
        <f t="shared" si="16"/>
        <v>0</v>
      </c>
      <c r="D77" s="702">
        <f t="shared" si="17"/>
        <v>0</v>
      </c>
      <c r="E77" s="702">
        <f>IF(OR(ISBLANK(B41),B41=0),0,IF(C41&gt;B41, 2,0))</f>
        <v>0</v>
      </c>
      <c r="F77" s="702">
        <f>IF(   OR(ISBLANK(C41),C41=0),  IF(OR(ISBLANK(B41),B41=0), 0, IF(D41&gt;B41, 2,0)),   IF(D41&gt;C41, 2,0)   )</f>
        <v>0</v>
      </c>
      <c r="G77" s="92">
        <f t="shared" si="18"/>
        <v>0</v>
      </c>
      <c r="H77" s="702">
        <f t="shared" si="18"/>
        <v>0</v>
      </c>
      <c r="I77" s="702">
        <f t="shared" si="18"/>
        <v>0</v>
      </c>
      <c r="J77" s="702">
        <f>IF(OR(ISBLANK(E41),E41=0),0,IF(F41&gt;E41, 2,0))</f>
        <v>0</v>
      </c>
      <c r="K77" s="26">
        <f>IF(   OR(ISBLANK(F41),F41=0),  IF(OR(ISBLANK(E41),E41=0), 0, IF(G41&gt;E41, 2,0)),   IF(G41&gt;F41, 2,0)   )</f>
        <v>0</v>
      </c>
      <c r="L77" s="141">
        <f t="shared" si="19"/>
        <v>0</v>
      </c>
      <c r="M77" s="702">
        <f t="shared" si="19"/>
        <v>0</v>
      </c>
      <c r="N77" s="702">
        <f t="shared" si="19"/>
        <v>0</v>
      </c>
      <c r="O77" s="702">
        <f>IF(OR(ISBLANK(H41),H41=0),0,IF(I41&gt;H41, 2,0))</f>
        <v>0</v>
      </c>
      <c r="P77" s="26">
        <f>IF(   OR(ISBLANK(I41),I41=0),  IF(OR(ISBLANK(H41),H41=0), 0, IF(J41&gt;H41, 2,0)),   IF(J41&gt;I41, 2,0)   )</f>
        <v>0</v>
      </c>
    </row>
    <row r="78" spans="1:16" ht="30" x14ac:dyDescent="0.25">
      <c r="A78" s="633" t="s">
        <v>258</v>
      </c>
      <c r="B78" s="139">
        <f t="shared" si="16"/>
        <v>0</v>
      </c>
      <c r="C78" s="196">
        <f t="shared" si="16"/>
        <v>0</v>
      </c>
      <c r="D78" s="196">
        <f t="shared" si="17"/>
        <v>0</v>
      </c>
      <c r="E78" s="702">
        <f>IF(OR(ISBLANK(B42),B42=0),0,IF(C42&gt;B42, 2,0))</f>
        <v>0</v>
      </c>
      <c r="F78" s="702">
        <f>IF(   OR(ISBLANK(C42),C42=0),  IF(OR(ISBLANK(B42),B42=0), 0, IF(D42&gt;B42, 2,0)),   IF(D42&gt;C42, 2,0)   )</f>
        <v>0</v>
      </c>
      <c r="G78" s="220">
        <f t="shared" si="18"/>
        <v>0</v>
      </c>
      <c r="H78" s="196">
        <f t="shared" si="18"/>
        <v>0</v>
      </c>
      <c r="I78" s="196">
        <f t="shared" si="18"/>
        <v>0</v>
      </c>
      <c r="J78" s="702">
        <f>IF(OR(ISBLANK(E42),E42=0),0,IF(F42&gt;E42, 2,0))</f>
        <v>0</v>
      </c>
      <c r="K78" s="26">
        <f>IF(   OR(ISBLANK(F42),F42=0),  IF(OR(ISBLANK(E42),E42=0), 0, IF(G42&gt;E42, 2,0)),   IF(G42&gt;F42, 2,0)   )</f>
        <v>0</v>
      </c>
      <c r="L78" s="139">
        <f t="shared" si="19"/>
        <v>0</v>
      </c>
      <c r="M78" s="196">
        <f t="shared" si="19"/>
        <v>0</v>
      </c>
      <c r="N78" s="196">
        <f t="shared" si="19"/>
        <v>0</v>
      </c>
      <c r="O78" s="702">
        <f>IF(OR(ISBLANK(H42),H42=0),0,IF(I42&gt;H42, 2,0))</f>
        <v>0</v>
      </c>
      <c r="P78" s="26">
        <f>IF(   OR(ISBLANK(I42),I42=0),  IF(OR(ISBLANK(H42),H42=0), 0, IF(J42&gt;H42, 2,0)),   IF(J42&gt;I42, 2,0)   )</f>
        <v>0</v>
      </c>
    </row>
    <row r="79" spans="1:16" x14ac:dyDescent="0.25">
      <c r="A79" s="634" t="s">
        <v>292</v>
      </c>
      <c r="B79" s="1117">
        <f>SUM(B75:F78)</f>
        <v>0</v>
      </c>
      <c r="C79" s="1139"/>
      <c r="D79" s="1139"/>
      <c r="E79" s="1139"/>
      <c r="F79" s="1116"/>
      <c r="G79" s="1140">
        <f>SUM(G75:K78)</f>
        <v>0</v>
      </c>
      <c r="H79" s="1139"/>
      <c r="I79" s="1139"/>
      <c r="J79" s="1139"/>
      <c r="K79" s="1141"/>
      <c r="L79" s="1140">
        <f>SUM(L75:P78)</f>
        <v>0</v>
      </c>
      <c r="M79" s="1139"/>
      <c r="N79" s="1139"/>
      <c r="O79" s="1139"/>
      <c r="P79" s="1141"/>
    </row>
    <row r="80" spans="1:16" ht="15.75" thickBot="1" x14ac:dyDescent="0.3">
      <c r="A80" s="635" t="s">
        <v>294</v>
      </c>
      <c r="B80" s="1142">
        <f>IF(AND(B33="Florida", D36&gt;8), B79, IF(AND(B33="Florida", D36&gt;4), B79*0.9, IF(AND(B33="Florida", D36&gt;0), B79*0.8, IF(AND(B33&lt;&gt;"Florida", D34="Statewide"), B79, B79*0.8))))</f>
        <v>0</v>
      </c>
      <c r="C80" s="1063"/>
      <c r="D80" s="1063"/>
      <c r="E80" s="1063"/>
      <c r="F80" s="1143"/>
      <c r="G80" s="1142">
        <f>IF(AND(E33="Florida", G36&gt;8), G79, IF(AND(E33="Florida", G36&gt;4), G79*0.9, IF(AND(E33="Florida", G36&gt;0), G79*0.8, IF(AND(E33&lt;&gt;"Florida", G34="Statewide"), G79, G79*0.8))))</f>
        <v>0</v>
      </c>
      <c r="H80" s="1063"/>
      <c r="I80" s="1063"/>
      <c r="J80" s="1063"/>
      <c r="K80" s="1143"/>
      <c r="L80" s="1133">
        <f>IF(AND(H33="Florida", J36&gt;8), L79, IF(AND(H33="Florida", J36&gt;4), L79*0.9, IF(AND(H33="Florida", J36&gt;0), L79*0.8, IF(AND(H33&lt;&gt;"Florida", J34="Statewide"), L79, L79*0.8))))</f>
        <v>0</v>
      </c>
      <c r="M80" s="1134"/>
      <c r="N80" s="1134"/>
      <c r="O80" s="1134"/>
      <c r="P80" s="1135"/>
    </row>
    <row r="81" spans="1:16" x14ac:dyDescent="0.25">
      <c r="A81" s="221" t="s">
        <v>295</v>
      </c>
      <c r="B81" s="1127">
        <f>SUM(B80:P80)</f>
        <v>0</v>
      </c>
      <c r="C81" s="1128"/>
      <c r="D81" s="1128"/>
      <c r="E81" s="1128"/>
      <c r="F81" s="1128"/>
      <c r="G81" s="1128"/>
      <c r="H81" s="1128"/>
      <c r="I81" s="1128"/>
      <c r="J81" s="1128"/>
      <c r="K81" s="1128"/>
      <c r="L81" s="1128"/>
      <c r="M81" s="1128"/>
      <c r="N81" s="1128"/>
      <c r="O81" s="1128"/>
      <c r="P81" s="1129"/>
    </row>
    <row r="82" spans="1:16" x14ac:dyDescent="0.25">
      <c r="A82" s="214" t="s">
        <v>300</v>
      </c>
      <c r="B82" s="1130">
        <f>B81/120</f>
        <v>0</v>
      </c>
      <c r="C82" s="1131"/>
      <c r="D82" s="1131"/>
      <c r="E82" s="1131"/>
      <c r="F82" s="1131"/>
      <c r="G82" s="1131"/>
      <c r="H82" s="1131"/>
      <c r="I82" s="1131"/>
      <c r="J82" s="1131"/>
      <c r="K82" s="1131"/>
      <c r="L82" s="1131"/>
      <c r="M82" s="1131"/>
      <c r="N82" s="1131"/>
      <c r="O82" s="1131"/>
      <c r="P82" s="1132"/>
    </row>
    <row r="83" spans="1:16" ht="15.75" thickBot="1" x14ac:dyDescent="0.3">
      <c r="A83" s="215" t="s">
        <v>301</v>
      </c>
      <c r="B83" s="1133">
        <f>ROUNDDOWN(20*B82, 0)</f>
        <v>0</v>
      </c>
      <c r="C83" s="1134"/>
      <c r="D83" s="1134"/>
      <c r="E83" s="1134"/>
      <c r="F83" s="1134"/>
      <c r="G83" s="1134"/>
      <c r="H83" s="1134"/>
      <c r="I83" s="1134"/>
      <c r="J83" s="1134"/>
      <c r="K83" s="1134"/>
      <c r="L83" s="1134"/>
      <c r="M83" s="1134"/>
      <c r="N83" s="1134"/>
      <c r="O83" s="1134"/>
      <c r="P83" s="1135"/>
    </row>
  </sheetData>
  <sheetProtection algorithmName="SHA-512" hashValue="g+zASEKZdKtgG/tH1S0j5f9YFvJPQMj6+YQQ2SxJU0xWRrYNuFYx6m+m0WTMCgUHA2an0FByPOlUQ0RttdQQuw==" saltValue="HKSIUJH9n9kMfgxESP+69g==" spinCount="100000" sheet="1" objects="1" scenarios="1"/>
  <protectedRanges>
    <protectedRange algorithmName="SHA-512" hashValue="4pvC3XEFgo/xs/SElBru5A3FrDz0FAoQrDsuiy3xNsdWLLpS55CAgqYoHdyd378GwksAYtS4gygkDqSYNsNiXQ==" saltValue="cyvpFif3Gm61CwMrHGoJ6Q==" spinCount="100000" sqref="B35:J36" name="Range4"/>
    <protectedRange algorithmName="SHA-512" hashValue="J5wPLESLTCyamMbimF2cHYS9RZK2enqnAEjAS4cljaOLiG0G4BQcWHLDV+adxDehSEVpekjnwHMpux+QQiwAjA==" saltValue="UY0ySRSyMSL3WDyDqD0g6w==" spinCount="100000" sqref="B39:J42" name="Range2"/>
    <protectedRange algorithmName="SHA-512" hashValue="LjpgiJLrL6DzDeF0R8WBkj6sXwHTdOrclbWX1OEYxbs3cndObLtsUOB8rANY3GJeaZWKgZZZvJeWwSqDKLAzcQ==" saltValue="zA8XwdbMLRMN4NTab/ROAA==" spinCount="100000" sqref="B17:J32" name="Range1"/>
    <protectedRange algorithmName="SHA-512" hashValue="tiL3zhB0Df4haUSfy317bB7GfBjryJHUGUmgFZNZ+kBLhqFu6XEToJmRJMqfw2VrbTaBJmdKEtDENeV1Pp58dQ==" saltValue="9YhEF3Nz9JYGMkreRnHdcg==" spinCount="100000" sqref="B13:J14" name="Range3"/>
  </protectedRanges>
  <mergeCells count="68">
    <mergeCell ref="A11:A12"/>
    <mergeCell ref="B11:D12"/>
    <mergeCell ref="E11:G12"/>
    <mergeCell ref="H11:J12"/>
    <mergeCell ref="A34:A35"/>
    <mergeCell ref="B34:B35"/>
    <mergeCell ref="C34:C35"/>
    <mergeCell ref="D34:D35"/>
    <mergeCell ref="E34:E35"/>
    <mergeCell ref="F34:F35"/>
    <mergeCell ref="G34:G35"/>
    <mergeCell ref="H34:H35"/>
    <mergeCell ref="I34:I35"/>
    <mergeCell ref="J34:J35"/>
    <mergeCell ref="C1:E1"/>
    <mergeCell ref="B33:D33"/>
    <mergeCell ref="E33:G33"/>
    <mergeCell ref="H33:J33"/>
    <mergeCell ref="B10:D10"/>
    <mergeCell ref="E10:G10"/>
    <mergeCell ref="H10:J10"/>
    <mergeCell ref="L46:P46"/>
    <mergeCell ref="L47:N47"/>
    <mergeCell ref="O47:P47"/>
    <mergeCell ref="U11:W11"/>
    <mergeCell ref="U12:W12"/>
    <mergeCell ref="U13:W13"/>
    <mergeCell ref="K33:M33"/>
    <mergeCell ref="K34:M34"/>
    <mergeCell ref="L67:P67"/>
    <mergeCell ref="B68:P68"/>
    <mergeCell ref="B65:F65"/>
    <mergeCell ref="G65:K65"/>
    <mergeCell ref="L65:P65"/>
    <mergeCell ref="B66:F66"/>
    <mergeCell ref="G66:K66"/>
    <mergeCell ref="L66:P66"/>
    <mergeCell ref="A46:A48"/>
    <mergeCell ref="E47:F47"/>
    <mergeCell ref="J47:K47"/>
    <mergeCell ref="B67:F67"/>
    <mergeCell ref="G67:K67"/>
    <mergeCell ref="B47:D47"/>
    <mergeCell ref="B46:F46"/>
    <mergeCell ref="G46:K46"/>
    <mergeCell ref="G47:I47"/>
    <mergeCell ref="G73:I73"/>
    <mergeCell ref="J73:K73"/>
    <mergeCell ref="L73:N73"/>
    <mergeCell ref="O73:P73"/>
    <mergeCell ref="B69:P69"/>
    <mergeCell ref="B70:P70"/>
    <mergeCell ref="B81:P81"/>
    <mergeCell ref="B82:P82"/>
    <mergeCell ref="B83:P83"/>
    <mergeCell ref="A44:B44"/>
    <mergeCell ref="A72:A74"/>
    <mergeCell ref="B79:F79"/>
    <mergeCell ref="G79:K79"/>
    <mergeCell ref="L79:P79"/>
    <mergeCell ref="B80:F80"/>
    <mergeCell ref="G80:K80"/>
    <mergeCell ref="L80:P80"/>
    <mergeCell ref="B72:F72"/>
    <mergeCell ref="G72:K72"/>
    <mergeCell ref="L72:P72"/>
    <mergeCell ref="B73:D73"/>
    <mergeCell ref="E73:F73"/>
  </mergeCells>
  <dataValidations count="5">
    <dataValidation type="list" allowBlank="1" showInputMessage="1" showErrorMessage="1" sqref="B13:J13 B34:J35" xr:uid="{659D3625-7C1C-4C17-9EC2-2570699114CD}">
      <formula1>$Z$13:$Z$14</formula1>
    </dataValidation>
    <dataValidation type="list" allowBlank="1" showInputMessage="1" showErrorMessage="1" sqref="B14:J14 B36:J36" xr:uid="{65208792-F3C3-4905-BFFB-B56E27ABD24B}">
      <formula1>$Z$18:$Z$28</formula1>
    </dataValidation>
    <dataValidation type="decimal" allowBlank="1" showInputMessage="1" showErrorMessage="1" sqref="B17:J32 B6 B39:J42" xr:uid="{260A68C3-1F6A-4D3E-9191-579EA534E1B8}">
      <formula1>0</formula1>
      <formula2>1</formula2>
    </dataValidation>
    <dataValidation type="list" allowBlank="1" showInputMessage="1" showErrorMessage="1" sqref="H12" xr:uid="{B24448DB-2791-4861-8EBC-821F21FFC772}">
      <formula1>$N$15:$N$20</formula1>
    </dataValidation>
    <dataValidation type="whole" allowBlank="1" showInputMessage="1" showErrorMessage="1" sqref="B7" xr:uid="{C1E62511-09CA-4EBC-91BE-F5020BB81380}">
      <formula1>120</formula1>
      <formula2>120</formula2>
    </dataValidation>
  </dataValidations>
  <hyperlinks>
    <hyperlink ref="C1:E1" location="'Respondent Information'!A1" display="Back to Respondent Information" xr:uid="{4F703C3C-AAE8-4F75-B701-2E65ED12719A}"/>
  </hyperlinks>
  <pageMargins left="0.7" right="0.7" top="0.75" bottom="0.75" header="0.3" footer="0.3"/>
  <pageSetup scale="44" fitToHeight="0" orientation="landscape" r:id="rId1"/>
  <headerFooter>
    <oddHeader>&amp;C&amp;"Arial,Bold"&amp;14EXHIBIT A-5-a-V3
SUBMISSION REQUIREMENTS AND EVALUATION RESPONSE TEMPLATE</oddHeader>
    <oddFooter>&amp;C&amp;"Arial,Bold"AHCA ITN 010-22/23, Attachment A, Exhibit A-5-a-V3, Page &amp;P of &amp;N</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D81E5-AA9B-4E5C-85FA-79A465167C8C}">
  <sheetPr codeName="Sheet42">
    <tabColor rgb="FF92D050"/>
  </sheetPr>
  <dimension ref="A1:K4"/>
  <sheetViews>
    <sheetView zoomScaleNormal="100" workbookViewId="0"/>
  </sheetViews>
  <sheetFormatPr defaultRowHeight="15" x14ac:dyDescent="0.25"/>
  <cols>
    <col min="1" max="1" width="9.140625" customWidth="1"/>
    <col min="2" max="2" width="15.85546875" customWidth="1"/>
    <col min="9" max="9" width="12.85546875" customWidth="1"/>
  </cols>
  <sheetData>
    <row r="1" spans="1:11" ht="23.25" x14ac:dyDescent="0.35">
      <c r="A1" s="691" t="s">
        <v>302</v>
      </c>
      <c r="B1" s="691"/>
      <c r="C1" s="691"/>
      <c r="D1" s="691"/>
      <c r="E1" s="691"/>
      <c r="F1" s="691"/>
      <c r="G1" s="691"/>
      <c r="H1" s="691"/>
      <c r="I1" s="691"/>
      <c r="J1" s="691"/>
      <c r="K1" s="691"/>
    </row>
    <row r="2" spans="1:11" ht="23.25" x14ac:dyDescent="0.35">
      <c r="A2" s="691" t="s">
        <v>133</v>
      </c>
      <c r="C2" s="691"/>
      <c r="D2" s="691"/>
      <c r="E2" s="691"/>
      <c r="F2" s="691"/>
      <c r="G2" s="691"/>
      <c r="H2" s="691"/>
      <c r="I2" s="691"/>
      <c r="J2" s="691"/>
      <c r="K2" s="691"/>
    </row>
    <row r="3" spans="1:11" ht="15" customHeight="1" x14ac:dyDescent="0.35">
      <c r="A3" s="691"/>
      <c r="B3" s="691"/>
      <c r="C3" s="691"/>
      <c r="D3" s="691"/>
      <c r="E3" s="691"/>
      <c r="F3" s="691"/>
      <c r="G3" s="691"/>
      <c r="H3" s="691"/>
      <c r="I3" s="691"/>
      <c r="J3" s="691"/>
      <c r="K3" s="691"/>
    </row>
    <row r="4" spans="1:11" x14ac:dyDescent="0.25">
      <c r="A4" s="1083" t="s">
        <v>82</v>
      </c>
      <c r="B4" s="1083"/>
      <c r="C4" s="1083"/>
    </row>
  </sheetData>
  <sheetProtection algorithmName="SHA-512" hashValue="WXsHrn7HpEC+ZLUX4eEGiken/v4ADF9DO42carTjuHbFnRxEteMIkY9lxnOxZCGxpRl6bOdPWdBhvyWakevKtg==" saltValue="lp0ZaqFfz7YHtI15viXmUA==" spinCount="100000" sheet="1" objects="1" scenarios="1"/>
  <mergeCells count="1">
    <mergeCell ref="A4:C4"/>
  </mergeCells>
  <hyperlinks>
    <hyperlink ref="A4" location="'Respondent Information'!A1" display="Back to Respondent Information" xr:uid="{695BA3A8-170D-42ED-B5B5-FA7A9A47E343}"/>
  </hyperlinks>
  <pageMargins left="0.7" right="0.7" top="0.75" bottom="0.75" header="0.3" footer="0.3"/>
  <pageSetup orientation="portrait" r:id="rId1"/>
  <headerFooter>
    <oddHeader>&amp;C&amp;"Arial,Bold"&amp;14EXHIBIT A-5-a-V3
SUBMISSION REQUIREMENTS AND EVALUATION RESPONSE TEMPLATE</oddHeader>
    <oddFooter>&amp;C&amp;"Arial,Bold"AHCA ITN 010-22/23, Attachment A, Exhibit A-5-a-V3, 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44393-9369-414C-8A4F-4ECBEAAEF8ED}">
  <sheetPr codeName="Sheet43">
    <tabColor rgb="FF92D050"/>
    <pageSetUpPr fitToPage="1"/>
  </sheetPr>
  <dimension ref="A1:H37"/>
  <sheetViews>
    <sheetView workbookViewId="0">
      <selection activeCell="D1" sqref="D1"/>
    </sheetView>
  </sheetViews>
  <sheetFormatPr defaultRowHeight="15" x14ac:dyDescent="0.25"/>
  <cols>
    <col min="1" max="1" width="52.7109375" customWidth="1"/>
    <col min="2" max="2" width="35" bestFit="1" customWidth="1"/>
    <col min="3" max="3" width="31.5703125" bestFit="1" customWidth="1"/>
    <col min="4" max="4" width="37.7109375" bestFit="1" customWidth="1"/>
    <col min="5" max="5" width="31.5703125" style="20" bestFit="1" customWidth="1"/>
    <col min="6" max="6" width="35.28515625" style="20" bestFit="1" customWidth="1"/>
    <col min="7" max="7" width="10.140625" customWidth="1"/>
    <col min="8" max="8" width="9.140625" hidden="1" customWidth="1"/>
  </cols>
  <sheetData>
    <row r="1" spans="1:8" ht="23.25" x14ac:dyDescent="0.35">
      <c r="A1" s="691" t="s">
        <v>302</v>
      </c>
      <c r="D1" s="643" t="s">
        <v>82</v>
      </c>
    </row>
    <row r="2" spans="1:8" ht="28.5" x14ac:dyDescent="0.45">
      <c r="A2" s="14"/>
    </row>
    <row r="3" spans="1:8" x14ac:dyDescent="0.25">
      <c r="A3" s="692" t="s">
        <v>84</v>
      </c>
      <c r="B3" s="692" t="s">
        <v>85</v>
      </c>
    </row>
    <row r="4" spans="1:8" x14ac:dyDescent="0.25">
      <c r="A4" s="693" t="s">
        <v>87</v>
      </c>
      <c r="B4" s="179">
        <v>63</v>
      </c>
    </row>
    <row r="5" spans="1:8" x14ac:dyDescent="0.25">
      <c r="A5" s="693" t="s">
        <v>88</v>
      </c>
      <c r="B5" s="222">
        <f>D37</f>
        <v>0</v>
      </c>
      <c r="C5" s="111"/>
      <c r="D5" s="111"/>
      <c r="E5" s="242"/>
      <c r="F5" s="241"/>
    </row>
    <row r="6" spans="1:8" x14ac:dyDescent="0.25">
      <c r="A6" s="413" t="s">
        <v>89</v>
      </c>
      <c r="B6" s="420">
        <f>B5/B4</f>
        <v>0</v>
      </c>
      <c r="C6" s="111"/>
      <c r="D6" s="111"/>
      <c r="E6" s="242"/>
      <c r="F6" s="241"/>
    </row>
    <row r="7" spans="1:8" x14ac:dyDescent="0.25">
      <c r="A7" s="413" t="s">
        <v>135</v>
      </c>
      <c r="B7" s="414">
        <v>90</v>
      </c>
      <c r="C7" s="111"/>
      <c r="D7" s="111"/>
      <c r="E7" s="242"/>
      <c r="F7" s="241"/>
    </row>
    <row r="8" spans="1:8" x14ac:dyDescent="0.25">
      <c r="A8" s="413" t="s">
        <v>303</v>
      </c>
      <c r="B8" s="421">
        <f>B7*B6</f>
        <v>0</v>
      </c>
      <c r="C8" s="111"/>
      <c r="D8" s="111"/>
      <c r="E8" s="242"/>
      <c r="F8" s="241"/>
    </row>
    <row r="9" spans="1:8" ht="15.75" thickBot="1" x14ac:dyDescent="0.3">
      <c r="A9" s="41"/>
      <c r="B9" s="113"/>
      <c r="C9" s="111"/>
      <c r="D9" s="111"/>
      <c r="E9" s="242"/>
      <c r="F9" s="241"/>
    </row>
    <row r="10" spans="1:8" ht="23.25" x14ac:dyDescent="0.35">
      <c r="A10" s="1205">
        <f>'Respondent Information'!C6</f>
        <v>0</v>
      </c>
      <c r="B10" s="1206"/>
      <c r="C10" s="1168">
        <f>'Respondent Information'!C9</f>
        <v>0</v>
      </c>
      <c r="D10" s="1207"/>
      <c r="E10" s="1208">
        <f>'Respondent Information'!C12</f>
        <v>0</v>
      </c>
      <c r="F10" s="1209"/>
    </row>
    <row r="11" spans="1:8" x14ac:dyDescent="0.25">
      <c r="A11" s="647" t="s">
        <v>137</v>
      </c>
      <c r="B11">
        <f>'Respondent Information'!E6</f>
        <v>0</v>
      </c>
      <c r="C11" s="646" t="s">
        <v>137</v>
      </c>
      <c r="D11" s="26">
        <f>'Respondent Information'!E9</f>
        <v>0</v>
      </c>
      <c r="E11" s="360" t="s">
        <v>137</v>
      </c>
      <c r="F11" s="348">
        <f>'Respondent Information'!E12</f>
        <v>0</v>
      </c>
    </row>
    <row r="12" spans="1:8" x14ac:dyDescent="0.25">
      <c r="A12" s="130" t="s">
        <v>304</v>
      </c>
      <c r="B12" s="512"/>
      <c r="C12" s="346" t="s">
        <v>304</v>
      </c>
      <c r="D12" s="520"/>
      <c r="E12" s="130" t="s">
        <v>304</v>
      </c>
      <c r="F12" s="526"/>
      <c r="H12" t="s">
        <v>305</v>
      </c>
    </row>
    <row r="13" spans="1:8" x14ac:dyDescent="0.25">
      <c r="A13" s="130" t="s">
        <v>306</v>
      </c>
      <c r="B13" s="512"/>
      <c r="C13" s="346" t="s">
        <v>306</v>
      </c>
      <c r="D13" s="520"/>
      <c r="E13" s="130" t="s">
        <v>306</v>
      </c>
      <c r="F13" s="526"/>
      <c r="H13" t="s">
        <v>307</v>
      </c>
    </row>
    <row r="14" spans="1:8" x14ac:dyDescent="0.25">
      <c r="A14" s="130" t="s">
        <v>308</v>
      </c>
      <c r="B14" s="521"/>
      <c r="C14" s="346" t="s">
        <v>308</v>
      </c>
      <c r="D14" s="509"/>
      <c r="E14" s="130" t="s">
        <v>308</v>
      </c>
      <c r="F14" s="527"/>
      <c r="H14" t="s">
        <v>309</v>
      </c>
    </row>
    <row r="15" spans="1:8" x14ac:dyDescent="0.25">
      <c r="A15" s="130" t="s">
        <v>310</v>
      </c>
      <c r="B15" s="522"/>
      <c r="C15" s="346" t="s">
        <v>310</v>
      </c>
      <c r="D15" s="524"/>
      <c r="E15" s="130" t="s">
        <v>310</v>
      </c>
      <c r="F15" s="528"/>
      <c r="H15" t="s">
        <v>311</v>
      </c>
    </row>
    <row r="16" spans="1:8" x14ac:dyDescent="0.25">
      <c r="A16" s="130" t="s">
        <v>312</v>
      </c>
      <c r="B16" s="425">
        <f>IF(ISERROR(((B15-B14)/B14)), 0, ((B15-B14)/B14))</f>
        <v>0</v>
      </c>
      <c r="C16" s="346" t="s">
        <v>312</v>
      </c>
      <c r="D16" s="424">
        <f>IF(ISERROR(((D15-D14)/D14)), 0, ((D15-D14)/D14))</f>
        <v>0</v>
      </c>
      <c r="E16" s="130" t="s">
        <v>312</v>
      </c>
      <c r="F16" s="424">
        <f>IF(ISERROR(((F15-F14)/F14)), 0, ((F15-F14)/F14))</f>
        <v>0</v>
      </c>
    </row>
    <row r="17" spans="1:6" ht="15.75" thickBot="1" x14ac:dyDescent="0.3">
      <c r="A17" s="345" t="s">
        <v>313</v>
      </c>
      <c r="B17" s="542"/>
      <c r="C17" s="347" t="s">
        <v>313</v>
      </c>
      <c r="D17" s="525"/>
      <c r="E17" s="345" t="s">
        <v>313</v>
      </c>
      <c r="F17" s="529"/>
    </row>
    <row r="18" spans="1:6" ht="23.25" x14ac:dyDescent="0.35">
      <c r="A18" s="324"/>
      <c r="B18" s="333"/>
      <c r="C18" s="240"/>
      <c r="D18" s="240"/>
      <c r="E18" s="334"/>
      <c r="F18" s="333"/>
    </row>
    <row r="19" spans="1:6" ht="21" x14ac:dyDescent="0.35">
      <c r="A19" s="1056" t="s">
        <v>117</v>
      </c>
      <c r="B19" s="1056"/>
    </row>
    <row r="20" spans="1:6" ht="15.75" thickBot="1" x14ac:dyDescent="0.3"/>
    <row r="21" spans="1:6" x14ac:dyDescent="0.25">
      <c r="A21" s="201" t="s">
        <v>18</v>
      </c>
      <c r="B21" s="199" t="s">
        <v>148</v>
      </c>
      <c r="C21" s="147" t="s">
        <v>149</v>
      </c>
      <c r="D21" s="148" t="s">
        <v>34</v>
      </c>
      <c r="F21" s="349"/>
    </row>
    <row r="22" spans="1:6" x14ac:dyDescent="0.25">
      <c r="A22" s="1214">
        <f>'Respondent Information'!C6</f>
        <v>0</v>
      </c>
      <c r="B22" s="112" t="s">
        <v>314</v>
      </c>
      <c r="C22" s="702">
        <v>10</v>
      </c>
      <c r="D22" s="117">
        <f>IF(ABS(B16)&gt;0.1999, 10, IF(ABS(B16)&gt;0.1499, 8, IF(ABS(B16)&gt;0.0999, 6, IF(ABS(B16)&gt;0.0599, 4, IF(ABS(B16)&gt;=0.01, 2, 0)))))</f>
        <v>0</v>
      </c>
      <c r="F22" s="349"/>
    </row>
    <row r="23" spans="1:6" x14ac:dyDescent="0.25">
      <c r="A23" s="1214"/>
      <c r="B23" s="112" t="s">
        <v>315</v>
      </c>
      <c r="C23" s="702">
        <v>10</v>
      </c>
      <c r="D23" s="117">
        <f>IF(B17&gt;0.1999,10,IF(B17&gt;0.1599,8,IF(B17&gt;0.1099,6,IF(B17&gt;0.0599,4,IF(B17&gt;0.0099,2,0)))))</f>
        <v>0</v>
      </c>
      <c r="F23" s="349"/>
    </row>
    <row r="24" spans="1:6" x14ac:dyDescent="0.25">
      <c r="A24" s="1214"/>
      <c r="B24" s="112" t="s">
        <v>304</v>
      </c>
      <c r="C24" s="702">
        <v>1</v>
      </c>
      <c r="D24" s="26">
        <f>IF(ISBLANK(B12), 0, IF(B12&lt;&gt;"Other Focus", 1, 0))</f>
        <v>0</v>
      </c>
      <c r="F24" s="349"/>
    </row>
    <row r="25" spans="1:6" ht="15" customHeight="1" thickBot="1" x14ac:dyDescent="0.3">
      <c r="A25" s="1214"/>
      <c r="B25" s="1210" t="s">
        <v>126</v>
      </c>
      <c r="C25" s="1121"/>
      <c r="D25" s="126">
        <f>SUM(D22:D24)</f>
        <v>0</v>
      </c>
    </row>
    <row r="26" spans="1:6" ht="15.75" customHeight="1" thickBot="1" x14ac:dyDescent="0.3">
      <c r="A26" s="1215"/>
      <c r="B26" s="1210" t="s">
        <v>316</v>
      </c>
      <c r="C26" s="1121"/>
      <c r="D26" s="126">
        <f>IF(B11="Medicaid", D25*1, IF(B11="CHIP", D25*0.9, IF(B11="Medicare", D25*0.8, 0)))</f>
        <v>0</v>
      </c>
    </row>
    <row r="27" spans="1:6" ht="15.75" customHeight="1" x14ac:dyDescent="0.25">
      <c r="A27" s="1212">
        <f>'Respondent Information'!C9</f>
        <v>0</v>
      </c>
      <c r="B27" s="112" t="s">
        <v>314</v>
      </c>
      <c r="C27" s="702">
        <v>10</v>
      </c>
      <c r="D27" s="117">
        <f>IF(ABS(D16)&gt;0.1999, 10, IF(ABS(D16)&gt;0.1499, 8, IF(ABS(D16)&gt;0.0999, 6, IF(ABS(D16)&gt;0.0599, 4, IF(ABS(D16)&gt;0.01, 2, 0)))))</f>
        <v>0</v>
      </c>
    </row>
    <row r="28" spans="1:6" ht="15.75" customHeight="1" x14ac:dyDescent="0.25">
      <c r="A28" s="1212"/>
      <c r="B28" s="112" t="s">
        <v>315</v>
      </c>
      <c r="C28" s="702">
        <v>10</v>
      </c>
      <c r="D28" s="117">
        <f>IF(D17&gt;0.1999,10,IF(D17&gt;0.1599,8,IF(D17&gt;0.1099,6,IF(D17&gt;0.0599,4,IF(D17&gt;0.0099,2,0)))))</f>
        <v>0</v>
      </c>
    </row>
    <row r="29" spans="1:6" ht="15.75" customHeight="1" x14ac:dyDescent="0.25">
      <c r="A29" s="1212"/>
      <c r="B29" s="112" t="s">
        <v>304</v>
      </c>
      <c r="C29" s="702">
        <v>1</v>
      </c>
      <c r="D29" s="26">
        <f>IF(ISBLANK(D12),0,(IF(D12&lt;&gt;"Other Focus",1,0)))</f>
        <v>0</v>
      </c>
    </row>
    <row r="30" spans="1:6" ht="15" customHeight="1" thickBot="1" x14ac:dyDescent="0.3">
      <c r="A30" s="1212"/>
      <c r="B30" s="1211" t="s">
        <v>126</v>
      </c>
      <c r="C30" s="1126"/>
      <c r="D30" s="191">
        <f>SUM(D27:D29)</f>
        <v>0</v>
      </c>
    </row>
    <row r="31" spans="1:6" ht="15.75" customHeight="1" thickBot="1" x14ac:dyDescent="0.3">
      <c r="A31" s="1213"/>
      <c r="B31" s="1210" t="s">
        <v>316</v>
      </c>
      <c r="C31" s="1121"/>
      <c r="D31" s="126">
        <f>IF(D11="Medicaid", D30, IF(D11="CHIP", D30*0.9, IF(D11="Medicare", D30*0.8,0)))</f>
        <v>0</v>
      </c>
    </row>
    <row r="32" spans="1:6" x14ac:dyDescent="0.25">
      <c r="A32" s="1214">
        <f>'Respondent Information'!C12</f>
        <v>0</v>
      </c>
      <c r="B32" s="112" t="s">
        <v>314</v>
      </c>
      <c r="C32" s="702">
        <v>10</v>
      </c>
      <c r="D32" s="117">
        <f>IF(ABS(F16)&gt;0.1999, 10, IF(ABS(F16)&gt;0.1499, 8, IF(ABS(F16)&gt;0.0999, 6, IF(ABS(F16)&gt;0.0599, 4, IF(ABS(F16)&gt;0.01, 2, 0)))))</f>
        <v>0</v>
      </c>
    </row>
    <row r="33" spans="1:4" x14ac:dyDescent="0.25">
      <c r="A33" s="1214"/>
      <c r="B33" s="112" t="s">
        <v>315</v>
      </c>
      <c r="C33" s="702">
        <v>10</v>
      </c>
      <c r="D33" s="117">
        <f>IF(F17&gt;0.1999,10,IF(F17&gt;0.1599,8,IF(F17&gt;0.1099,6,IF(F17&gt;0.0599,4,IF(F17&gt;0.0099,2,0)))))</f>
        <v>0</v>
      </c>
    </row>
    <row r="34" spans="1:4" x14ac:dyDescent="0.25">
      <c r="A34" s="1214"/>
      <c r="B34" s="112" t="s">
        <v>304</v>
      </c>
      <c r="C34" s="702">
        <v>1</v>
      </c>
      <c r="D34" s="26">
        <f>IF(ISBLANK(F12), 0, IF(F12&lt;&gt;"Other Focus", 1, 0))</f>
        <v>0</v>
      </c>
    </row>
    <row r="35" spans="1:4" ht="15" customHeight="1" thickBot="1" x14ac:dyDescent="0.3">
      <c r="A35" s="1214"/>
      <c r="B35" s="1210" t="s">
        <v>126</v>
      </c>
      <c r="C35" s="1121"/>
      <c r="D35" s="126">
        <f xml:space="preserve"> SUM(D32:D34)</f>
        <v>0</v>
      </c>
    </row>
    <row r="36" spans="1:4" ht="15.75" customHeight="1" thickBot="1" x14ac:dyDescent="0.3">
      <c r="A36" s="1215"/>
      <c r="B36" s="1210" t="s">
        <v>316</v>
      </c>
      <c r="C36" s="1121"/>
      <c r="D36" s="126">
        <f>IF(F11="Medicaid", D35*1, IF(F11="CHIP", D35*0.9, IF(F11="Medicare", D35*0.8, 0)))</f>
        <v>0</v>
      </c>
    </row>
    <row r="37" spans="1:4" ht="15.75" thickBot="1" x14ac:dyDescent="0.3">
      <c r="A37" s="1077" t="s">
        <v>317</v>
      </c>
      <c r="B37" s="1078"/>
      <c r="C37" s="1122"/>
      <c r="D37" s="127">
        <f>SUM(D36,D31,D26)</f>
        <v>0</v>
      </c>
    </row>
  </sheetData>
  <sheetProtection algorithmName="SHA-512" hashValue="P4PFb+j7TsEUZKIZzPzB8mYWhqGhCjoMl+9X3rhZP8NoCJWvrTclBXEWHAk+lPJ8WezcaZ3YR3ODvLcpPsEVwA==" saltValue="rzVaUjWp65tDLGDWAZtUmg==" spinCount="100000" sheet="1" objects="1" scenarios="1"/>
  <protectedRanges>
    <protectedRange algorithmName="SHA-512" hashValue="mXkYXWmBktOK68Dt9DP323gfz6377j3vaVNzQccUPLcmzGCTaqZnWCJcG7CoIfHm0c2/jI5aaww5XiYA9EUfkQ==" saltValue="PO+EDKU0QPraqhFLTDzacQ==" spinCount="100000" sqref="B12:B15 B17 D12:D15 D17 F12:F15 F17" name="Range1"/>
  </protectedRanges>
  <mergeCells count="14">
    <mergeCell ref="A10:B10"/>
    <mergeCell ref="C10:D10"/>
    <mergeCell ref="E10:F10"/>
    <mergeCell ref="A19:B19"/>
    <mergeCell ref="A37:C37"/>
    <mergeCell ref="B25:C25"/>
    <mergeCell ref="B30:C30"/>
    <mergeCell ref="B35:C35"/>
    <mergeCell ref="A27:A31"/>
    <mergeCell ref="A32:A36"/>
    <mergeCell ref="B31:C31"/>
    <mergeCell ref="B36:C36"/>
    <mergeCell ref="A22:A26"/>
    <mergeCell ref="B26:C26"/>
  </mergeCells>
  <phoneticPr fontId="39" type="noConversion"/>
  <dataValidations count="2">
    <dataValidation type="list" allowBlank="1" showInputMessage="1" showErrorMessage="1" sqref="B12 F12 D12" xr:uid="{9B7754FB-B19A-4591-9A32-2CFEFC8DB1B4}">
      <formula1>$H$12:$H$15</formula1>
    </dataValidation>
    <dataValidation type="decimal" allowBlank="1" showInputMessage="1" showErrorMessage="1" sqref="B14:B15 D14:D15 F14:F15 B17 D17 F17" xr:uid="{0508DEDF-A5C8-4E12-A51C-0FDC287236A3}">
      <formula1>0</formula1>
      <formula2>1</formula2>
    </dataValidation>
  </dataValidations>
  <hyperlinks>
    <hyperlink ref="D1" location="'Respondent Information'!A1" display="Back to Respondent Information" xr:uid="{B22BA35B-D8BC-4E97-A78B-D52AAD4C02B3}"/>
  </hyperlinks>
  <pageMargins left="0.7" right="0.7" top="0.75" bottom="0.75" header="0.3" footer="0.3"/>
  <pageSetup scale="54" fitToHeight="0" orientation="landscape" r:id="rId1"/>
  <headerFooter>
    <oddHeader>&amp;C&amp;"Arial,Bold"&amp;14EXHIBIT A-5-a-V3
SUBMISSION REQUIREMENTS AND EVALUATION RESPONSE TEMPLATE</oddHeader>
    <oddFooter>&amp;C&amp;"Arial,Bold"AHCA ITN 010-22/23, Attachment A, Exhibit A-5-a-V3, Page &amp;P of &amp;N</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FCB78-4944-4DF1-97FC-B929805B8D66}">
  <sheetPr codeName="Sheet46">
    <tabColor rgb="FFFFCC99"/>
  </sheetPr>
  <dimension ref="A1:AB3"/>
  <sheetViews>
    <sheetView zoomScaleNormal="100" workbookViewId="0"/>
  </sheetViews>
  <sheetFormatPr defaultRowHeight="15" x14ac:dyDescent="0.25"/>
  <cols>
    <col min="1" max="1" width="9.140625" customWidth="1"/>
  </cols>
  <sheetData>
    <row r="1" spans="1:28" ht="23.25" x14ac:dyDescent="0.35">
      <c r="A1" s="416" t="s">
        <v>318</v>
      </c>
      <c r="B1" s="691"/>
      <c r="C1" s="691"/>
      <c r="D1" s="691"/>
      <c r="E1" s="691"/>
      <c r="F1" s="691"/>
      <c r="G1" s="691"/>
      <c r="H1" s="691"/>
      <c r="I1" s="691"/>
      <c r="J1" s="416" t="s">
        <v>318</v>
      </c>
      <c r="S1" s="416" t="s">
        <v>318</v>
      </c>
      <c r="AB1" s="416" t="s">
        <v>318</v>
      </c>
    </row>
    <row r="2" spans="1:28" ht="23.25" x14ac:dyDescent="0.35">
      <c r="A2" s="416" t="s">
        <v>319</v>
      </c>
      <c r="B2" s="691"/>
      <c r="C2" s="691"/>
      <c r="D2" s="691"/>
      <c r="E2" s="691"/>
      <c r="F2" s="691"/>
      <c r="G2" s="691"/>
      <c r="H2" s="691"/>
      <c r="I2" s="691"/>
      <c r="J2" s="416" t="s">
        <v>320</v>
      </c>
      <c r="S2" s="416" t="s">
        <v>320</v>
      </c>
      <c r="AB2" s="416" t="s">
        <v>320</v>
      </c>
    </row>
    <row r="3" spans="1:28" ht="21" customHeight="1" x14ac:dyDescent="0.25">
      <c r="A3" s="1083" t="s">
        <v>82</v>
      </c>
      <c r="B3" s="1083"/>
      <c r="C3" s="1083"/>
      <c r="D3" s="1083"/>
    </row>
  </sheetData>
  <sheetProtection algorithmName="SHA-512" hashValue="RxiCDp+3UiwGdyGWdYRCdZ7gGNXk1CzQrvUXTwFxzjeb3MNwIFmiqjrAT+IFTjVRn1iWFUEPKz8rLRuctbukhQ==" saltValue="qrE0/qdX7Ct3j5vkTlTuTQ==" spinCount="100000" sheet="1" objects="1" scenarios="1"/>
  <mergeCells count="1">
    <mergeCell ref="A3:D3"/>
  </mergeCells>
  <hyperlinks>
    <hyperlink ref="A3" location="'Respondent Information'!A1" display="Back to Respondent Information" xr:uid="{C1036616-4CE9-416F-B09B-6EB83F71186D}"/>
  </hyperlinks>
  <pageMargins left="0.7" right="0.7" top="0.75" bottom="0.75" header="0.3" footer="0.3"/>
  <pageSetup orientation="portrait" r:id="rId1"/>
  <headerFooter>
    <oddHeader>&amp;C&amp;"Arial,Bold"&amp;14EXHIBIT A-5-a-V3
SUBMISSION REQUIREMENTS AND EVALUATION RESPONSE TEMPLATE</oddHeader>
    <oddFooter>&amp;C&amp;"Arial,Bold"AHCA ITN 010-22/23, Attachment A, Exhibit A-5-a-V3, Page &amp;P of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84921-A272-470F-AE3A-CEF851D207AA}">
  <sheetPr codeName="Sheet47">
    <tabColor rgb="FFFFCC99"/>
    <pageSetUpPr fitToPage="1"/>
  </sheetPr>
  <dimension ref="A1:J108"/>
  <sheetViews>
    <sheetView zoomScaleNormal="100" workbookViewId="0">
      <pane ySplit="11" topLeftCell="A12" activePane="bottomLeft" state="frozen"/>
      <selection sqref="A1:I2"/>
      <selection pane="bottomLeft" activeCell="D1" sqref="D1"/>
    </sheetView>
  </sheetViews>
  <sheetFormatPr defaultRowHeight="15" x14ac:dyDescent="0.25"/>
  <cols>
    <col min="1" max="1" width="57.42578125" customWidth="1"/>
    <col min="2" max="4" width="28.7109375" customWidth="1"/>
    <col min="5" max="5" width="34.85546875" customWidth="1"/>
    <col min="6" max="6" width="32.140625" customWidth="1"/>
    <col min="7" max="7" width="34.42578125" customWidth="1"/>
    <col min="9" max="10" width="9.140625" hidden="1" customWidth="1"/>
    <col min="11" max="11" width="9.140625" customWidth="1"/>
  </cols>
  <sheetData>
    <row r="1" spans="1:10" ht="23.25" x14ac:dyDescent="0.35">
      <c r="A1" s="691" t="s">
        <v>321</v>
      </c>
      <c r="D1" s="643" t="s">
        <v>82</v>
      </c>
    </row>
    <row r="2" spans="1:10" ht="28.5" x14ac:dyDescent="0.45">
      <c r="A2" s="14"/>
    </row>
    <row r="3" spans="1:10" x14ac:dyDescent="0.25">
      <c r="A3" s="692" t="s">
        <v>84</v>
      </c>
      <c r="B3" s="692" t="s">
        <v>85</v>
      </c>
    </row>
    <row r="4" spans="1:10" x14ac:dyDescent="0.25">
      <c r="A4" s="693" t="s">
        <v>322</v>
      </c>
      <c r="B4" s="179">
        <f>SUM(C57:C63)+SUM(C65:C66)+C68+SUM(C71:C77)+SUM(C79:C80)+C82+SUM(C85:C91)+SUM(C93:C94)+C96+SUM(C99:C105)+C107</f>
        <v>200</v>
      </c>
    </row>
    <row r="5" spans="1:10" x14ac:dyDescent="0.25">
      <c r="A5" s="693" t="s">
        <v>88</v>
      </c>
      <c r="B5" s="179">
        <f t="shared" ref="B5" si="0">D108</f>
        <v>0</v>
      </c>
      <c r="C5" s="111"/>
      <c r="D5" s="111"/>
      <c r="E5" s="111"/>
      <c r="F5" s="110"/>
    </row>
    <row r="6" spans="1:10" x14ac:dyDescent="0.25">
      <c r="A6" s="413" t="s">
        <v>89</v>
      </c>
      <c r="B6" s="420">
        <f>B5/B4</f>
        <v>0</v>
      </c>
      <c r="C6" s="111"/>
      <c r="D6" s="111"/>
      <c r="E6" s="111"/>
      <c r="F6" s="110"/>
    </row>
    <row r="7" spans="1:10" x14ac:dyDescent="0.25">
      <c r="A7" s="413" t="s">
        <v>135</v>
      </c>
      <c r="B7" s="414">
        <v>300</v>
      </c>
      <c r="C7" s="111"/>
      <c r="D7" s="111"/>
      <c r="E7" s="111"/>
      <c r="F7" s="110"/>
    </row>
    <row r="8" spans="1:10" x14ac:dyDescent="0.25">
      <c r="A8" s="413" t="s">
        <v>323</v>
      </c>
      <c r="B8" s="421">
        <f>B6*B7</f>
        <v>0</v>
      </c>
      <c r="C8" s="111"/>
      <c r="D8" s="111"/>
      <c r="E8" s="111"/>
      <c r="F8" s="110"/>
    </row>
    <row r="9" spans="1:10" ht="15.75" thickBot="1" x14ac:dyDescent="0.3">
      <c r="A9" s="41"/>
      <c r="B9" s="113"/>
      <c r="C9" s="111"/>
      <c r="D9" s="111"/>
      <c r="E9" s="111"/>
      <c r="F9" s="110"/>
    </row>
    <row r="10" spans="1:10" ht="23.25" x14ac:dyDescent="0.35">
      <c r="A10" s="707"/>
      <c r="B10" s="663">
        <f>'Respondent Information'!C6</f>
        <v>0</v>
      </c>
      <c r="C10" s="715">
        <f>'Respondent Information'!C9</f>
        <v>0</v>
      </c>
      <c r="D10" s="664">
        <f>'Respondent Information'!C12</f>
        <v>0</v>
      </c>
    </row>
    <row r="11" spans="1:10" ht="15.75" thickBot="1" x14ac:dyDescent="0.3">
      <c r="A11" s="249" t="s">
        <v>20</v>
      </c>
      <c r="B11" s="667">
        <f>'Respondent Information'!E6</f>
        <v>0</v>
      </c>
      <c r="C11" s="632">
        <f>'Respondent Information'!E9</f>
        <v>0</v>
      </c>
      <c r="D11" s="703">
        <f>'Respondent Information'!E12</f>
        <v>0</v>
      </c>
    </row>
    <row r="12" spans="1:10" s="17" customFormat="1" ht="95.25" customHeight="1" x14ac:dyDescent="0.25">
      <c r="A12" s="708"/>
      <c r="B12" s="238" t="s">
        <v>1266</v>
      </c>
      <c r="C12" s="716" t="s">
        <v>1266</v>
      </c>
      <c r="D12" s="239" t="s">
        <v>1266</v>
      </c>
      <c r="E12"/>
      <c r="F12"/>
      <c r="G12"/>
      <c r="J12" s="17" t="s">
        <v>26</v>
      </c>
    </row>
    <row r="13" spans="1:10" x14ac:dyDescent="0.25">
      <c r="A13" s="647" t="s">
        <v>324</v>
      </c>
      <c r="B13" s="63"/>
      <c r="C13" s="717"/>
      <c r="D13" s="200"/>
      <c r="J13" t="s">
        <v>28</v>
      </c>
    </row>
    <row r="14" spans="1:10" x14ac:dyDescent="0.25">
      <c r="A14" s="711" t="s">
        <v>325</v>
      </c>
      <c r="B14" s="675"/>
      <c r="C14" s="516"/>
      <c r="D14" s="517"/>
    </row>
    <row r="15" spans="1:10" x14ac:dyDescent="0.25">
      <c r="A15" s="711" t="s">
        <v>326</v>
      </c>
      <c r="B15" s="675"/>
      <c r="C15" s="516"/>
      <c r="D15" s="517"/>
    </row>
    <row r="16" spans="1:10" x14ac:dyDescent="0.25">
      <c r="A16" s="711" t="s">
        <v>327</v>
      </c>
      <c r="B16" s="675"/>
      <c r="C16" s="516"/>
      <c r="D16" s="517"/>
    </row>
    <row r="17" spans="1:4" x14ac:dyDescent="0.25">
      <c r="A17" s="711" t="s">
        <v>328</v>
      </c>
      <c r="B17" s="675"/>
      <c r="C17" s="516"/>
      <c r="D17" s="517"/>
    </row>
    <row r="18" spans="1:4" x14ac:dyDescent="0.25">
      <c r="A18" s="711" t="s">
        <v>329</v>
      </c>
      <c r="B18" s="675"/>
      <c r="C18" s="516"/>
      <c r="D18" s="517"/>
    </row>
    <row r="19" spans="1:4" x14ac:dyDescent="0.25">
      <c r="A19" s="711" t="s">
        <v>330</v>
      </c>
      <c r="B19" s="675"/>
      <c r="C19" s="516"/>
      <c r="D19" s="517"/>
    </row>
    <row r="20" spans="1:4" x14ac:dyDescent="0.25">
      <c r="A20" s="711" t="s">
        <v>331</v>
      </c>
      <c r="B20" s="675"/>
      <c r="C20" s="516"/>
      <c r="D20" s="517"/>
    </row>
    <row r="21" spans="1:4" ht="15" customHeight="1" thickBot="1" x14ac:dyDescent="0.3">
      <c r="A21" s="1223" t="s">
        <v>332</v>
      </c>
      <c r="B21" s="1224"/>
      <c r="C21" s="1235"/>
      <c r="D21" s="1225"/>
    </row>
    <row r="22" spans="1:4" x14ac:dyDescent="0.25">
      <c r="A22" s="711" t="s">
        <v>333</v>
      </c>
      <c r="B22" s="713"/>
      <c r="C22" s="720"/>
      <c r="D22" s="517"/>
    </row>
    <row r="23" spans="1:4" x14ac:dyDescent="0.25">
      <c r="A23" s="711" t="s">
        <v>334</v>
      </c>
      <c r="B23" s="714"/>
      <c r="C23" s="516"/>
      <c r="D23" s="517"/>
    </row>
    <row r="24" spans="1:4" ht="60.75" thickBot="1" x14ac:dyDescent="0.3">
      <c r="A24" s="647" t="s">
        <v>335</v>
      </c>
      <c r="B24" s="675"/>
      <c r="C24" s="718"/>
      <c r="D24" s="517"/>
    </row>
    <row r="26" spans="1:4" ht="23.25" x14ac:dyDescent="0.35">
      <c r="A26" s="719" t="s">
        <v>336</v>
      </c>
      <c r="B26" s="647"/>
      <c r="C26" s="200"/>
    </row>
    <row r="27" spans="1:4" x14ac:dyDescent="0.25">
      <c r="A27" s="1236" t="s">
        <v>1267</v>
      </c>
      <c r="B27" s="1236"/>
      <c r="C27" s="1236"/>
    </row>
    <row r="28" spans="1:4" x14ac:dyDescent="0.25">
      <c r="A28" s="1096" t="s">
        <v>324</v>
      </c>
      <c r="B28" s="1096"/>
      <c r="C28" s="1096"/>
    </row>
    <row r="29" spans="1:4" x14ac:dyDescent="0.25">
      <c r="A29" s="1237" t="s">
        <v>325</v>
      </c>
      <c r="B29" s="1237"/>
      <c r="C29" s="712"/>
    </row>
    <row r="30" spans="1:4" x14ac:dyDescent="0.25">
      <c r="A30" s="1216" t="s">
        <v>326</v>
      </c>
      <c r="B30" s="1216"/>
      <c r="C30" s="517"/>
    </row>
    <row r="31" spans="1:4" x14ac:dyDescent="0.25">
      <c r="A31" s="1216" t="s">
        <v>327</v>
      </c>
      <c r="B31" s="1216"/>
      <c r="C31" s="517"/>
    </row>
    <row r="32" spans="1:4" x14ac:dyDescent="0.25">
      <c r="A32" s="1216" t="s">
        <v>328</v>
      </c>
      <c r="B32" s="1216"/>
      <c r="C32" s="517"/>
    </row>
    <row r="33" spans="1:9" x14ac:dyDescent="0.25">
      <c r="A33" s="1216" t="s">
        <v>329</v>
      </c>
      <c r="B33" s="1216"/>
      <c r="C33" s="517"/>
    </row>
    <row r="34" spans="1:9" x14ac:dyDescent="0.25">
      <c r="A34" s="1216" t="s">
        <v>330</v>
      </c>
      <c r="B34" s="1216"/>
      <c r="C34" s="517"/>
    </row>
    <row r="35" spans="1:9" x14ac:dyDescent="0.25">
      <c r="A35" s="1216" t="s">
        <v>331</v>
      </c>
      <c r="B35" s="1216"/>
      <c r="C35" s="517"/>
    </row>
    <row r="36" spans="1:9" ht="30" customHeight="1" x14ac:dyDescent="0.25">
      <c r="A36" s="1223" t="s">
        <v>337</v>
      </c>
      <c r="B36" s="1224"/>
      <c r="C36" s="1225"/>
      <c r="E36" s="631"/>
      <c r="F36" s="1234"/>
      <c r="G36" s="1234"/>
    </row>
    <row r="37" spans="1:9" x14ac:dyDescent="0.25">
      <c r="A37" s="1217" t="s">
        <v>338</v>
      </c>
      <c r="B37" s="1217"/>
      <c r="C37" s="514"/>
      <c r="E37" s="240"/>
      <c r="F37" s="1231"/>
      <c r="G37" s="1231"/>
      <c r="I37" t="s">
        <v>339</v>
      </c>
    </row>
    <row r="38" spans="1:9" x14ac:dyDescent="0.25">
      <c r="A38" s="1217" t="s">
        <v>340</v>
      </c>
      <c r="B38" s="1217"/>
      <c r="C38" s="514"/>
      <c r="E38" s="240"/>
      <c r="F38" s="1231"/>
      <c r="G38" s="1231"/>
      <c r="I38">
        <f>IF(C37="Yes", 1, 0)</f>
        <v>0</v>
      </c>
    </row>
    <row r="39" spans="1:9" x14ac:dyDescent="0.25">
      <c r="A39" s="1217" t="s">
        <v>341</v>
      </c>
      <c r="B39" s="1217"/>
      <c r="C39" s="514"/>
      <c r="E39" s="240"/>
      <c r="F39" s="1231"/>
      <c r="G39" s="1231"/>
      <c r="I39">
        <f t="shared" ref="I39:I52" si="1">IF(C38="Yes", 1, 0)</f>
        <v>0</v>
      </c>
    </row>
    <row r="40" spans="1:9" x14ac:dyDescent="0.25">
      <c r="A40" s="1217" t="s">
        <v>342</v>
      </c>
      <c r="B40" s="1217"/>
      <c r="C40" s="514"/>
      <c r="E40" s="240"/>
      <c r="F40" s="1231"/>
      <c r="G40" s="1231"/>
      <c r="I40">
        <f t="shared" si="1"/>
        <v>0</v>
      </c>
    </row>
    <row r="41" spans="1:9" x14ac:dyDescent="0.25">
      <c r="A41" s="1217" t="s">
        <v>343</v>
      </c>
      <c r="B41" s="1217"/>
      <c r="C41" s="514"/>
      <c r="E41" s="240"/>
      <c r="F41" s="1231"/>
      <c r="G41" s="1231"/>
      <c r="I41">
        <f t="shared" si="1"/>
        <v>0</v>
      </c>
    </row>
    <row r="42" spans="1:9" x14ac:dyDescent="0.25">
      <c r="A42" s="1217" t="s">
        <v>344</v>
      </c>
      <c r="B42" s="1217"/>
      <c r="C42" s="514"/>
      <c r="E42" s="240"/>
      <c r="F42" s="1231"/>
      <c r="G42" s="1231"/>
      <c r="I42">
        <f t="shared" si="1"/>
        <v>0</v>
      </c>
    </row>
    <row r="43" spans="1:9" x14ac:dyDescent="0.25">
      <c r="A43" s="1217" t="s">
        <v>345</v>
      </c>
      <c r="B43" s="1217"/>
      <c r="C43" s="514"/>
      <c r="E43" s="240"/>
      <c r="F43" s="1231"/>
      <c r="G43" s="1231"/>
      <c r="I43">
        <f t="shared" si="1"/>
        <v>0</v>
      </c>
    </row>
    <row r="44" spans="1:9" x14ac:dyDescent="0.25">
      <c r="A44" s="1217" t="s">
        <v>346</v>
      </c>
      <c r="B44" s="1217"/>
      <c r="C44" s="514"/>
      <c r="E44" s="240"/>
      <c r="F44" s="1231"/>
      <c r="G44" s="1231"/>
      <c r="I44">
        <f t="shared" si="1"/>
        <v>0</v>
      </c>
    </row>
    <row r="45" spans="1:9" x14ac:dyDescent="0.25">
      <c r="A45" s="1217" t="s">
        <v>347</v>
      </c>
      <c r="B45" s="1217"/>
      <c r="C45" s="514"/>
      <c r="E45" s="240"/>
      <c r="F45" s="1231"/>
      <c r="G45" s="1231"/>
      <c r="I45">
        <f t="shared" si="1"/>
        <v>0</v>
      </c>
    </row>
    <row r="46" spans="1:9" x14ac:dyDescent="0.25">
      <c r="A46" s="1217" t="s">
        <v>348</v>
      </c>
      <c r="B46" s="1217"/>
      <c r="C46" s="514"/>
      <c r="E46" s="240"/>
      <c r="F46" s="1231"/>
      <c r="G46" s="1231"/>
      <c r="I46">
        <f t="shared" si="1"/>
        <v>0</v>
      </c>
    </row>
    <row r="47" spans="1:9" x14ac:dyDescent="0.25">
      <c r="A47" s="1217" t="s">
        <v>349</v>
      </c>
      <c r="B47" s="1217"/>
      <c r="C47" s="514"/>
      <c r="E47" s="240"/>
      <c r="F47" s="1231"/>
      <c r="G47" s="1231"/>
      <c r="I47">
        <f t="shared" si="1"/>
        <v>0</v>
      </c>
    </row>
    <row r="48" spans="1:9" x14ac:dyDescent="0.25">
      <c r="A48" s="1217" t="s">
        <v>350</v>
      </c>
      <c r="B48" s="1217"/>
      <c r="C48" s="514"/>
      <c r="E48" s="240"/>
      <c r="F48" s="1231"/>
      <c r="G48" s="1231"/>
      <c r="I48">
        <f t="shared" si="1"/>
        <v>0</v>
      </c>
    </row>
    <row r="49" spans="1:9" x14ac:dyDescent="0.25">
      <c r="A49" s="1217" t="s">
        <v>351</v>
      </c>
      <c r="B49" s="1217"/>
      <c r="C49" s="514"/>
      <c r="E49" s="240"/>
      <c r="F49" s="1231"/>
      <c r="G49" s="1231"/>
      <c r="I49">
        <f t="shared" si="1"/>
        <v>0</v>
      </c>
    </row>
    <row r="50" spans="1:9" x14ac:dyDescent="0.25">
      <c r="A50" s="1217" t="s">
        <v>352</v>
      </c>
      <c r="B50" s="1217"/>
      <c r="C50" s="514"/>
      <c r="E50" s="240"/>
      <c r="F50" s="1231"/>
      <c r="G50" s="1231"/>
      <c r="I50">
        <f t="shared" si="1"/>
        <v>0</v>
      </c>
    </row>
    <row r="51" spans="1:9" x14ac:dyDescent="0.25">
      <c r="A51" s="1217" t="s">
        <v>353</v>
      </c>
      <c r="B51" s="1217"/>
      <c r="C51" s="514"/>
      <c r="E51" s="240"/>
      <c r="F51" s="1231"/>
      <c r="G51" s="1231"/>
      <c r="I51">
        <f t="shared" si="1"/>
        <v>0</v>
      </c>
    </row>
    <row r="52" spans="1:9" x14ac:dyDescent="0.25">
      <c r="I52">
        <f t="shared" si="1"/>
        <v>0</v>
      </c>
    </row>
    <row r="53" spans="1:9" ht="21" x14ac:dyDescent="0.35">
      <c r="A53" s="1056" t="s">
        <v>117</v>
      </c>
      <c r="B53" s="1056"/>
      <c r="I53">
        <f>SUM(I38:I52)</f>
        <v>0</v>
      </c>
    </row>
    <row r="54" spans="1:9" ht="15.75" thickBot="1" x14ac:dyDescent="0.3"/>
    <row r="55" spans="1:9" x14ac:dyDescent="0.25">
      <c r="A55" s="198" t="s">
        <v>18</v>
      </c>
      <c r="B55" s="199" t="s">
        <v>148</v>
      </c>
      <c r="C55" s="147" t="s">
        <v>149</v>
      </c>
      <c r="D55" s="148" t="s">
        <v>34</v>
      </c>
    </row>
    <row r="56" spans="1:9" ht="31.5" customHeight="1" x14ac:dyDescent="0.25">
      <c r="A56" s="1232">
        <f>B10</f>
        <v>0</v>
      </c>
      <c r="B56" s="1220" t="s">
        <v>1268</v>
      </c>
      <c r="C56" s="1220"/>
      <c r="D56" s="1221"/>
    </row>
    <row r="57" spans="1:9" ht="15" customHeight="1" x14ac:dyDescent="0.25">
      <c r="A57" s="1214"/>
      <c r="B57" s="711" t="s">
        <v>325</v>
      </c>
      <c r="C57" s="702">
        <v>5</v>
      </c>
      <c r="D57" s="26">
        <f t="shared" ref="D57:D63" si="2">IF(B14&gt;0.5, 5, IF(B14&gt;0.2499, 3, IF(B14&gt;=0.01, 1, 0)))</f>
        <v>0</v>
      </c>
    </row>
    <row r="58" spans="1:9" ht="15" customHeight="1" x14ac:dyDescent="0.25">
      <c r="A58" s="1214"/>
      <c r="B58" s="711" t="s">
        <v>326</v>
      </c>
      <c r="C58" s="702">
        <v>5</v>
      </c>
      <c r="D58" s="26">
        <f t="shared" si="2"/>
        <v>0</v>
      </c>
    </row>
    <row r="59" spans="1:9" ht="15" customHeight="1" x14ac:dyDescent="0.25">
      <c r="A59" s="1214"/>
      <c r="B59" s="711" t="s">
        <v>327</v>
      </c>
      <c r="C59" s="702">
        <v>5</v>
      </c>
      <c r="D59" s="26">
        <f t="shared" si="2"/>
        <v>0</v>
      </c>
    </row>
    <row r="60" spans="1:9" ht="15" customHeight="1" x14ac:dyDescent="0.25">
      <c r="A60" s="1214"/>
      <c r="B60" s="711" t="s">
        <v>328</v>
      </c>
      <c r="C60" s="702">
        <v>5</v>
      </c>
      <c r="D60" s="26">
        <f t="shared" si="2"/>
        <v>0</v>
      </c>
    </row>
    <row r="61" spans="1:9" ht="15" customHeight="1" x14ac:dyDescent="0.25">
      <c r="A61" s="1214"/>
      <c r="B61" s="711" t="s">
        <v>329</v>
      </c>
      <c r="C61" s="702">
        <v>5</v>
      </c>
      <c r="D61" s="26">
        <f t="shared" si="2"/>
        <v>0</v>
      </c>
    </row>
    <row r="62" spans="1:9" ht="15" customHeight="1" x14ac:dyDescent="0.25">
      <c r="A62" s="1214"/>
      <c r="B62" s="711" t="s">
        <v>330</v>
      </c>
      <c r="C62" s="702">
        <v>5</v>
      </c>
      <c r="D62" s="26">
        <f t="shared" si="2"/>
        <v>0</v>
      </c>
    </row>
    <row r="63" spans="1:9" ht="15" customHeight="1" x14ac:dyDescent="0.25">
      <c r="A63" s="1214"/>
      <c r="B63" s="711" t="s">
        <v>331</v>
      </c>
      <c r="C63" s="702">
        <v>5</v>
      </c>
      <c r="D63" s="26">
        <f t="shared" si="2"/>
        <v>0</v>
      </c>
    </row>
    <row r="64" spans="1:9" ht="33" customHeight="1" x14ac:dyDescent="0.25">
      <c r="A64" s="1214"/>
      <c r="B64" s="1220" t="s">
        <v>1165</v>
      </c>
      <c r="C64" s="1220"/>
      <c r="D64" s="1221"/>
    </row>
    <row r="65" spans="1:4" ht="15" customHeight="1" x14ac:dyDescent="0.25">
      <c r="A65" s="1214"/>
      <c r="B65" s="711" t="s">
        <v>354</v>
      </c>
      <c r="C65" s="702">
        <v>5</v>
      </c>
      <c r="D65" s="26">
        <f>IF(B22&gt;=0.1, 5, IF(B22&gt;0.0499, 3, IF(B22&gt;=0.01, 1, 0)))</f>
        <v>0</v>
      </c>
    </row>
    <row r="66" spans="1:4" ht="15" customHeight="1" x14ac:dyDescent="0.25">
      <c r="A66" s="1214"/>
      <c r="B66" s="711" t="s">
        <v>355</v>
      </c>
      <c r="C66" s="702">
        <v>5</v>
      </c>
      <c r="D66" s="26">
        <f>IF(B23&gt;=0.1, 5, IF(B23&gt;0.0499, 3, IF(B23&gt;=0.01, 1, 0)))</f>
        <v>0</v>
      </c>
    </row>
    <row r="67" spans="1:4" ht="48" customHeight="1" x14ac:dyDescent="0.25">
      <c r="A67" s="1214"/>
      <c r="B67" s="1220" t="s">
        <v>1166</v>
      </c>
      <c r="C67" s="1220"/>
      <c r="D67" s="1221"/>
    </row>
    <row r="68" spans="1:4" ht="45" customHeight="1" x14ac:dyDescent="0.25">
      <c r="A68" s="1214"/>
      <c r="B68" s="710" t="s">
        <v>356</v>
      </c>
      <c r="C68" s="702">
        <v>5</v>
      </c>
      <c r="D68" s="26">
        <f>IF(B24&gt;0.5, 5, IF(B24&gt;0.2499, 3, IF(B24&gt;=0.01, 1, 0)))</f>
        <v>0</v>
      </c>
    </row>
    <row r="69" spans="1:4" ht="15.75" customHeight="1" thickBot="1" x14ac:dyDescent="0.3">
      <c r="A69" s="1215"/>
      <c r="B69" s="1233" t="s">
        <v>126</v>
      </c>
      <c r="C69" s="1233"/>
      <c r="D69" s="129">
        <f>SUM(D57:D63,D65:D66,D68)</f>
        <v>0</v>
      </c>
    </row>
    <row r="70" spans="1:4" ht="36.75" customHeight="1" x14ac:dyDescent="0.25">
      <c r="A70" s="1226">
        <f>C10</f>
        <v>0</v>
      </c>
      <c r="B70" s="1218" t="s">
        <v>1268</v>
      </c>
      <c r="C70" s="1218"/>
      <c r="D70" s="1219"/>
    </row>
    <row r="71" spans="1:4" ht="15" customHeight="1" x14ac:dyDescent="0.25">
      <c r="A71" s="1212"/>
      <c r="B71" s="186" t="s">
        <v>325</v>
      </c>
      <c r="C71" s="189">
        <v>5</v>
      </c>
      <c r="D71" s="190">
        <f t="shared" ref="D71:D77" si="3">IF(C14&gt;0.5, 5, IF(C14&gt;0.2499, 3, IF(C14&gt;=0.01, 1, 0)))</f>
        <v>0</v>
      </c>
    </row>
    <row r="72" spans="1:4" ht="15" customHeight="1" x14ac:dyDescent="0.25">
      <c r="A72" s="1212"/>
      <c r="B72" s="186" t="s">
        <v>326</v>
      </c>
      <c r="C72" s="189">
        <v>5</v>
      </c>
      <c r="D72" s="190">
        <f t="shared" si="3"/>
        <v>0</v>
      </c>
    </row>
    <row r="73" spans="1:4" ht="15" customHeight="1" x14ac:dyDescent="0.25">
      <c r="A73" s="1212"/>
      <c r="B73" s="186" t="s">
        <v>327</v>
      </c>
      <c r="C73" s="189">
        <v>5</v>
      </c>
      <c r="D73" s="190">
        <f t="shared" si="3"/>
        <v>0</v>
      </c>
    </row>
    <row r="74" spans="1:4" ht="15" customHeight="1" x14ac:dyDescent="0.25">
      <c r="A74" s="1212"/>
      <c r="B74" s="186" t="s">
        <v>328</v>
      </c>
      <c r="C74" s="189">
        <v>5</v>
      </c>
      <c r="D74" s="190">
        <f t="shared" si="3"/>
        <v>0</v>
      </c>
    </row>
    <row r="75" spans="1:4" ht="15" customHeight="1" x14ac:dyDescent="0.25">
      <c r="A75" s="1212"/>
      <c r="B75" s="186" t="s">
        <v>329</v>
      </c>
      <c r="C75" s="189">
        <v>5</v>
      </c>
      <c r="D75" s="190">
        <f t="shared" si="3"/>
        <v>0</v>
      </c>
    </row>
    <row r="76" spans="1:4" ht="15" customHeight="1" x14ac:dyDescent="0.25">
      <c r="A76" s="1212"/>
      <c r="B76" s="186" t="s">
        <v>330</v>
      </c>
      <c r="C76" s="189">
        <v>5</v>
      </c>
      <c r="D76" s="190">
        <f t="shared" si="3"/>
        <v>0</v>
      </c>
    </row>
    <row r="77" spans="1:4" ht="15" customHeight="1" x14ac:dyDescent="0.25">
      <c r="A77" s="1212"/>
      <c r="B77" s="186" t="s">
        <v>331</v>
      </c>
      <c r="C77" s="189">
        <v>5</v>
      </c>
      <c r="D77" s="190">
        <f t="shared" si="3"/>
        <v>0</v>
      </c>
    </row>
    <row r="78" spans="1:4" ht="31.5" customHeight="1" x14ac:dyDescent="0.25">
      <c r="A78" s="1212"/>
      <c r="B78" s="1220" t="s">
        <v>1165</v>
      </c>
      <c r="C78" s="1220"/>
      <c r="D78" s="1221"/>
    </row>
    <row r="79" spans="1:4" ht="15" customHeight="1" x14ac:dyDescent="0.25">
      <c r="A79" s="1212"/>
      <c r="B79" s="711" t="s">
        <v>354</v>
      </c>
      <c r="C79" s="189">
        <v>5</v>
      </c>
      <c r="D79" s="721">
        <f>IF(C22&gt;=0.1, 5, IF(C22&gt;0.0499, 3, IF(C22&gt;=0.01, 1, 0)))</f>
        <v>0</v>
      </c>
    </row>
    <row r="80" spans="1:4" ht="15" customHeight="1" x14ac:dyDescent="0.25">
      <c r="A80" s="1212"/>
      <c r="B80" s="711" t="s">
        <v>355</v>
      </c>
      <c r="C80" s="189">
        <v>5</v>
      </c>
      <c r="D80" s="721">
        <f>IF(C23&gt;=0.1, 5, IF(C23&gt;0.0499, 3, IF(C23&gt;=0.01, 1, 0)))</f>
        <v>0</v>
      </c>
    </row>
    <row r="81" spans="1:4" ht="46.5" customHeight="1" x14ac:dyDescent="0.25">
      <c r="A81" s="1212"/>
      <c r="B81" s="1220" t="s">
        <v>1166</v>
      </c>
      <c r="C81" s="1220"/>
      <c r="D81" s="1221"/>
    </row>
    <row r="82" spans="1:4" ht="46.5" customHeight="1" x14ac:dyDescent="0.25">
      <c r="A82" s="1212"/>
      <c r="B82" s="710" t="s">
        <v>356</v>
      </c>
      <c r="C82" s="189">
        <v>5</v>
      </c>
      <c r="D82" s="190">
        <f>IF(C24&gt;0.5, 5, IF(C24&gt;0.2499, 3, IF(C24&gt;=0.01, 1, 0)))</f>
        <v>0</v>
      </c>
    </row>
    <row r="83" spans="1:4" ht="15.75" customHeight="1" thickBot="1" x14ac:dyDescent="0.3">
      <c r="A83" s="1213"/>
      <c r="B83" s="1222" t="s">
        <v>126</v>
      </c>
      <c r="C83" s="1222"/>
      <c r="D83" s="194">
        <f>SUM(D71:D77,D79:D80,D82:D82)</f>
        <v>0</v>
      </c>
    </row>
    <row r="84" spans="1:4" ht="33" customHeight="1" x14ac:dyDescent="0.25">
      <c r="A84" s="1230">
        <f>D10</f>
        <v>0</v>
      </c>
      <c r="B84" s="1220" t="s">
        <v>1268</v>
      </c>
      <c r="C84" s="1220"/>
      <c r="D84" s="1221"/>
    </row>
    <row r="85" spans="1:4" ht="15" customHeight="1" x14ac:dyDescent="0.25">
      <c r="A85" s="1214"/>
      <c r="B85" s="711" t="s">
        <v>325</v>
      </c>
      <c r="C85" s="702">
        <v>5</v>
      </c>
      <c r="D85" s="26">
        <f t="shared" ref="D85:D91" si="4">IF(D14&gt;0.5, 5, IF(D14&gt;0.2499, 3, IF(D14&gt;=0.01, 1, 0)))</f>
        <v>0</v>
      </c>
    </row>
    <row r="86" spans="1:4" ht="15" customHeight="1" x14ac:dyDescent="0.25">
      <c r="A86" s="1214"/>
      <c r="B86" s="711" t="s">
        <v>326</v>
      </c>
      <c r="C86" s="702">
        <v>5</v>
      </c>
      <c r="D86" s="26">
        <f t="shared" si="4"/>
        <v>0</v>
      </c>
    </row>
    <row r="87" spans="1:4" ht="15" customHeight="1" x14ac:dyDescent="0.25">
      <c r="A87" s="1214"/>
      <c r="B87" s="711" t="s">
        <v>327</v>
      </c>
      <c r="C87" s="702">
        <v>5</v>
      </c>
      <c r="D87" s="26">
        <f t="shared" si="4"/>
        <v>0</v>
      </c>
    </row>
    <row r="88" spans="1:4" ht="15" customHeight="1" x14ac:dyDescent="0.25">
      <c r="A88" s="1214"/>
      <c r="B88" s="711" t="s">
        <v>328</v>
      </c>
      <c r="C88" s="702">
        <v>5</v>
      </c>
      <c r="D88" s="26">
        <f t="shared" si="4"/>
        <v>0</v>
      </c>
    </row>
    <row r="89" spans="1:4" ht="15" customHeight="1" x14ac:dyDescent="0.25">
      <c r="A89" s="1214"/>
      <c r="B89" s="711" t="s">
        <v>329</v>
      </c>
      <c r="C89" s="702">
        <v>5</v>
      </c>
      <c r="D89" s="26">
        <f t="shared" si="4"/>
        <v>0</v>
      </c>
    </row>
    <row r="90" spans="1:4" ht="15" customHeight="1" x14ac:dyDescent="0.25">
      <c r="A90" s="1214"/>
      <c r="B90" s="711" t="s">
        <v>330</v>
      </c>
      <c r="C90" s="702">
        <v>5</v>
      </c>
      <c r="D90" s="26">
        <f t="shared" si="4"/>
        <v>0</v>
      </c>
    </row>
    <row r="91" spans="1:4" ht="15" customHeight="1" x14ac:dyDescent="0.25">
      <c r="A91" s="1214"/>
      <c r="B91" s="711" t="s">
        <v>331</v>
      </c>
      <c r="C91" s="702">
        <v>5</v>
      </c>
      <c r="D91" s="26">
        <f t="shared" si="4"/>
        <v>0</v>
      </c>
    </row>
    <row r="92" spans="1:4" ht="32.25" customHeight="1" x14ac:dyDescent="0.25">
      <c r="A92" s="1214"/>
      <c r="B92" s="1220" t="s">
        <v>1165</v>
      </c>
      <c r="C92" s="1220"/>
      <c r="D92" s="1221"/>
    </row>
    <row r="93" spans="1:4" ht="15" customHeight="1" x14ac:dyDescent="0.25">
      <c r="A93" s="1214"/>
      <c r="B93" s="711" t="s">
        <v>354</v>
      </c>
      <c r="C93" s="189">
        <v>5</v>
      </c>
      <c r="D93" s="721">
        <f>IF(D22&gt;=0.1, 5, IF(D22&gt;0.0499, 3, IF(D22&gt;=0.01, 1, 0)))</f>
        <v>0</v>
      </c>
    </row>
    <row r="94" spans="1:4" ht="15" customHeight="1" x14ac:dyDescent="0.25">
      <c r="A94" s="1214"/>
      <c r="B94" s="711" t="s">
        <v>355</v>
      </c>
      <c r="C94" s="189">
        <v>5</v>
      </c>
      <c r="D94" s="721">
        <f>IF(D23&gt;=0.1, 5, IF(D23&gt;0.0499, 3, IF(D23&gt;=0.01, 1, 0)))</f>
        <v>0</v>
      </c>
    </row>
    <row r="95" spans="1:4" ht="49.5" customHeight="1" x14ac:dyDescent="0.25">
      <c r="A95" s="1214"/>
      <c r="B95" s="1220" t="s">
        <v>1166</v>
      </c>
      <c r="C95" s="1220"/>
      <c r="D95" s="1221"/>
    </row>
    <row r="96" spans="1:4" ht="48" customHeight="1" x14ac:dyDescent="0.25">
      <c r="A96" s="1214"/>
      <c r="B96" s="710" t="s">
        <v>356</v>
      </c>
      <c r="C96" s="702">
        <v>5</v>
      </c>
      <c r="D96" s="26">
        <f>IF(D24&gt;0.5, 5, IF(D24&gt;0.2499, 3, IF(D24&gt;=0.01, 1, 0)))</f>
        <v>0</v>
      </c>
    </row>
    <row r="97" spans="1:4" ht="15.75" customHeight="1" thickBot="1" x14ac:dyDescent="0.3">
      <c r="A97" s="1215"/>
      <c r="B97" s="1229" t="s">
        <v>126</v>
      </c>
      <c r="C97" s="1229"/>
      <c r="D97" s="194">
        <f>SUM(D85:D91,D93:D94,D96:D96)</f>
        <v>0</v>
      </c>
    </row>
    <row r="98" spans="1:4" ht="37.5" customHeight="1" x14ac:dyDescent="0.25">
      <c r="A98" s="1230" t="s">
        <v>357</v>
      </c>
      <c r="B98" s="1220" t="s">
        <v>1269</v>
      </c>
      <c r="C98" s="1220"/>
      <c r="D98" s="1221"/>
    </row>
    <row r="99" spans="1:4" ht="15" customHeight="1" x14ac:dyDescent="0.25">
      <c r="A99" s="1214"/>
      <c r="B99" s="711" t="s">
        <v>325</v>
      </c>
      <c r="C99" s="702">
        <v>5</v>
      </c>
      <c r="D99" s="26">
        <f>IF(C29&gt;0.75, 5, IF(C29&gt;0.4999, 3, IF(C29&gt;0.1999, 1, 0)))</f>
        <v>0</v>
      </c>
    </row>
    <row r="100" spans="1:4" ht="15" customHeight="1" x14ac:dyDescent="0.25">
      <c r="A100" s="1214"/>
      <c r="B100" s="711" t="s">
        <v>326</v>
      </c>
      <c r="C100" s="702">
        <v>5</v>
      </c>
      <c r="D100" s="26">
        <f t="shared" ref="D100:D105" si="5">IF(C30&gt;0.75, 5, IF(C30&gt;0.4999, 3, IF(C30&gt;0.1999, 1, 0)))</f>
        <v>0</v>
      </c>
    </row>
    <row r="101" spans="1:4" ht="15" customHeight="1" x14ac:dyDescent="0.25">
      <c r="A101" s="1214"/>
      <c r="B101" s="711" t="s">
        <v>327</v>
      </c>
      <c r="C101" s="702">
        <v>5</v>
      </c>
      <c r="D101" s="26">
        <f t="shared" si="5"/>
        <v>0</v>
      </c>
    </row>
    <row r="102" spans="1:4" ht="15" customHeight="1" x14ac:dyDescent="0.25">
      <c r="A102" s="1214"/>
      <c r="B102" s="711" t="s">
        <v>328</v>
      </c>
      <c r="C102" s="702">
        <v>5</v>
      </c>
      <c r="D102" s="26">
        <f t="shared" si="5"/>
        <v>0</v>
      </c>
    </row>
    <row r="103" spans="1:4" ht="15" customHeight="1" x14ac:dyDescent="0.25">
      <c r="A103" s="1214"/>
      <c r="B103" s="711" t="s">
        <v>329</v>
      </c>
      <c r="C103" s="702">
        <v>5</v>
      </c>
      <c r="D103" s="26">
        <f t="shared" si="5"/>
        <v>0</v>
      </c>
    </row>
    <row r="104" spans="1:4" ht="15" customHeight="1" x14ac:dyDescent="0.25">
      <c r="A104" s="1214"/>
      <c r="B104" s="711" t="s">
        <v>330</v>
      </c>
      <c r="C104" s="702">
        <v>5</v>
      </c>
      <c r="D104" s="26">
        <f t="shared" si="5"/>
        <v>0</v>
      </c>
    </row>
    <row r="105" spans="1:4" ht="15" customHeight="1" x14ac:dyDescent="0.25">
      <c r="A105" s="1214"/>
      <c r="B105" s="711" t="s">
        <v>331</v>
      </c>
      <c r="C105" s="702">
        <v>5</v>
      </c>
      <c r="D105" s="26">
        <f t="shared" si="5"/>
        <v>0</v>
      </c>
    </row>
    <row r="106" spans="1:4" ht="15" customHeight="1" x14ac:dyDescent="0.25">
      <c r="A106" s="1214"/>
      <c r="B106" s="1220" t="s">
        <v>1164</v>
      </c>
      <c r="C106" s="1220"/>
      <c r="D106" s="1221"/>
    </row>
    <row r="107" spans="1:4" ht="30" customHeight="1" thickBot="1" x14ac:dyDescent="0.3">
      <c r="A107" s="1215"/>
      <c r="B107" s="710" t="s">
        <v>358</v>
      </c>
      <c r="C107" s="702">
        <v>15</v>
      </c>
      <c r="D107" s="26">
        <f>I53</f>
        <v>0</v>
      </c>
    </row>
    <row r="108" spans="1:4" ht="15.75" thickBot="1" x14ac:dyDescent="0.3">
      <c r="A108" s="1227" t="s">
        <v>317</v>
      </c>
      <c r="B108" s="1228"/>
      <c r="C108" s="1228"/>
      <c r="D108" s="133">
        <f>SUM(D97,D83,D69,D99:D105,D107)</f>
        <v>0</v>
      </c>
    </row>
  </sheetData>
  <sheetProtection algorithmName="SHA-512" hashValue="hp7FzVxdBr/lDJLGz8VJFQo5+fZUPjjbfDkRhDkFgTXkmR6zcBOPxEvZImcEWNDpsccVD4xTpbg30uRQheApVw==" saltValue="Eb2B4eK7ND6pdCBFcliZFg==" spinCount="100000" sheet="1" objects="1" scenarios="1"/>
  <protectedRanges>
    <protectedRange algorithmName="SHA-512" hashValue="72SOGldWgVdX53BreAuI+//3JQKSsIDCWY9FPpul1cHfO9po8QwRWe7N8c1lStcYObp7Or1FIny2rih7zP4rrg==" saltValue="ajXxWrYhoxJ/axc9HfiQ0A==" spinCount="100000" sqref="E14 G14 B37:D51 C27 C29:C35 B24:D24 D25:D26 E25:G35 G22:G23 B22:E23 B25:C25 B14:D20" name="Range1"/>
  </protectedRanges>
  <mergeCells count="62">
    <mergeCell ref="F36:G36"/>
    <mergeCell ref="F44:G44"/>
    <mergeCell ref="F45:G45"/>
    <mergeCell ref="A21:D21"/>
    <mergeCell ref="F38:G38"/>
    <mergeCell ref="F37:G37"/>
    <mergeCell ref="F43:G43"/>
    <mergeCell ref="F39:G39"/>
    <mergeCell ref="F40:G40"/>
    <mergeCell ref="F41:G41"/>
    <mergeCell ref="F42:G42"/>
    <mergeCell ref="A27:C27"/>
    <mergeCell ref="A28:C28"/>
    <mergeCell ref="A29:B29"/>
    <mergeCell ref="A30:B30"/>
    <mergeCell ref="A31:B31"/>
    <mergeCell ref="F49:G49"/>
    <mergeCell ref="F46:G46"/>
    <mergeCell ref="F47:G47"/>
    <mergeCell ref="F48:G48"/>
    <mergeCell ref="A49:B49"/>
    <mergeCell ref="A48:B48"/>
    <mergeCell ref="F50:G50"/>
    <mergeCell ref="F51:G51"/>
    <mergeCell ref="B56:D56"/>
    <mergeCell ref="B64:D64"/>
    <mergeCell ref="A53:B53"/>
    <mergeCell ref="A50:B50"/>
    <mergeCell ref="A51:B51"/>
    <mergeCell ref="A56:A69"/>
    <mergeCell ref="B67:D67"/>
    <mergeCell ref="B69:C69"/>
    <mergeCell ref="A108:C108"/>
    <mergeCell ref="B84:D84"/>
    <mergeCell ref="B98:D98"/>
    <mergeCell ref="B92:D92"/>
    <mergeCell ref="B95:D95"/>
    <mergeCell ref="B97:C97"/>
    <mergeCell ref="A98:A107"/>
    <mergeCell ref="B106:D106"/>
    <mergeCell ref="A84:A97"/>
    <mergeCell ref="B70:D70"/>
    <mergeCell ref="B78:D78"/>
    <mergeCell ref="B81:D81"/>
    <mergeCell ref="B83:C83"/>
    <mergeCell ref="A36:C36"/>
    <mergeCell ref="A37:B37"/>
    <mergeCell ref="A38:B38"/>
    <mergeCell ref="A40:B40"/>
    <mergeCell ref="A41:B41"/>
    <mergeCell ref="A42:B42"/>
    <mergeCell ref="A43:B43"/>
    <mergeCell ref="A70:A83"/>
    <mergeCell ref="A44:B44"/>
    <mergeCell ref="A45:B45"/>
    <mergeCell ref="A46:B46"/>
    <mergeCell ref="A47:B47"/>
    <mergeCell ref="A32:B32"/>
    <mergeCell ref="A33:B33"/>
    <mergeCell ref="A34:B34"/>
    <mergeCell ref="A35:B35"/>
    <mergeCell ref="A39:B39"/>
  </mergeCells>
  <dataValidations count="2">
    <dataValidation type="list" allowBlank="1" showInputMessage="1" showErrorMessage="1" sqref="C37:C51" xr:uid="{22F5C6A5-2FEA-4D98-957A-7D64E591F2A0}">
      <formula1>$J$12:$J$13</formula1>
    </dataValidation>
    <dataValidation type="decimal" allowBlank="1" showInputMessage="1" showErrorMessage="1" sqref="E14:E17 G14:G17 F25:F35 G27:G35 E27:E35 B25:B26 D25:D26 B14:D20 B22:D24 C29:C35" xr:uid="{3A3609D5-BD96-43E4-90CB-07B3002A988E}">
      <formula1>0</formula1>
      <formula2>1</formula2>
    </dataValidation>
  </dataValidations>
  <hyperlinks>
    <hyperlink ref="D1" location="'Respondent Information'!A1" display="Back to Respondent Information" xr:uid="{8EB0E0E7-81CD-4C82-B4FC-DCA2E6AC9D67}"/>
  </hyperlinks>
  <pageMargins left="0.7" right="0.7" top="0.75" bottom="0.75" header="0.3" footer="0.3"/>
  <pageSetup scale="49" fitToHeight="0" orientation="landscape" r:id="rId1"/>
  <headerFooter>
    <oddHeader>&amp;C&amp;"Arial,Bold"&amp;14EXHIBIT A-5-a-V3
SUBMISSION REQUIREMENTS AND EVALUATION RESPONSE TEMPLATE</oddHeader>
    <oddFooter>&amp;C&amp;"Arial,Bold"AHCA ITN 010-22/23, Attachment A, Exhibit A-5-a-V3, Page &amp;P of &amp;N</oddFooter>
  </headerFooter>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3FB16-4A60-445F-88DF-438AE995F9CB}">
  <sheetPr codeName="Sheet54">
    <tabColor theme="5" tint="-0.249977111117893"/>
  </sheetPr>
  <dimension ref="A1:AK3"/>
  <sheetViews>
    <sheetView zoomScaleNormal="100" workbookViewId="0"/>
  </sheetViews>
  <sheetFormatPr defaultRowHeight="15" x14ac:dyDescent="0.25"/>
  <cols>
    <col min="1" max="1" width="9.140625" customWidth="1"/>
    <col min="9" max="9" width="16" customWidth="1"/>
  </cols>
  <sheetData>
    <row r="1" spans="1:37" ht="23.25" x14ac:dyDescent="0.35">
      <c r="A1" s="399" t="s">
        <v>359</v>
      </c>
      <c r="B1" s="706"/>
      <c r="C1" s="706"/>
      <c r="D1" s="706"/>
      <c r="E1" s="706"/>
      <c r="F1" s="706"/>
      <c r="G1" s="706"/>
      <c r="H1" s="706"/>
      <c r="I1" s="706"/>
      <c r="J1" s="465" t="s">
        <v>359</v>
      </c>
      <c r="L1" s="643"/>
      <c r="M1" s="643"/>
      <c r="S1" s="465" t="s">
        <v>359</v>
      </c>
      <c r="AB1" s="465" t="s">
        <v>359</v>
      </c>
      <c r="AK1" s="465" t="s">
        <v>359</v>
      </c>
    </row>
    <row r="2" spans="1:37" ht="18.75" x14ac:dyDescent="0.3">
      <c r="J2" s="465" t="s">
        <v>360</v>
      </c>
      <c r="S2" s="465" t="s">
        <v>360</v>
      </c>
      <c r="AB2" s="465" t="s">
        <v>360</v>
      </c>
      <c r="AK2" s="465" t="s">
        <v>360</v>
      </c>
    </row>
    <row r="3" spans="1:37" x14ac:dyDescent="0.25">
      <c r="A3" s="1083" t="s">
        <v>82</v>
      </c>
      <c r="B3" s="1083"/>
      <c r="C3" s="1083"/>
      <c r="D3" s="1083"/>
    </row>
  </sheetData>
  <sheetProtection algorithmName="SHA-512" hashValue="koVm/dnuvtlE7uxziSAPHMlCB/LsuWjKBdZNVNyO0+nFX/4Ofl3BNG3K1qmQ+ZZ4ka/5qu0BzMUKwShlkFhw/g==" saltValue="TuBGHmMQHQxSTvK+Tix9bQ==" spinCount="100000" sheet="1" objects="1" scenarios="1"/>
  <mergeCells count="1">
    <mergeCell ref="A3:D3"/>
  </mergeCells>
  <hyperlinks>
    <hyperlink ref="A3" location="'Respondent Information'!A1" display="Back to Respondent Information" xr:uid="{8255B01C-E0B7-4911-BAEA-AFEB19DF5A47}"/>
  </hyperlinks>
  <pageMargins left="0.7" right="0.7" top="0.75" bottom="0.75" header="0.3" footer="0.3"/>
  <pageSetup orientation="portrait" r:id="rId1"/>
  <headerFooter>
    <oddHeader>&amp;C&amp;"Arial,Bold"&amp;14EXHIBIT A-5-a-V3
SUBMISSION REQUIREMENTS AND EVALUATION RESPONSE TEMPLATE</oddHeader>
    <oddFooter>&amp;C&amp;"Arial,Bold"AHCA ITN 010-22/23, Attachment A, Exhibit A-5-a-V3, Page &amp;P of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8CDAC-02F9-4978-BBA6-42ED162A73FD}">
  <sheetPr codeName="Sheet55">
    <tabColor theme="5" tint="-0.249977111117893"/>
    <pageSetUpPr fitToPage="1"/>
  </sheetPr>
  <dimension ref="A1:S173"/>
  <sheetViews>
    <sheetView zoomScaleNormal="100" workbookViewId="0"/>
  </sheetViews>
  <sheetFormatPr defaultRowHeight="15" x14ac:dyDescent="0.25"/>
  <cols>
    <col min="1" max="1" width="67.28515625" customWidth="1"/>
    <col min="2" max="2" width="36" customWidth="1"/>
    <col min="3" max="3" width="15.42578125" bestFit="1" customWidth="1"/>
    <col min="4" max="5" width="20.42578125" bestFit="1" customWidth="1"/>
    <col min="6" max="6" width="20" customWidth="1"/>
    <col min="7" max="7" width="7.85546875" bestFit="1" customWidth="1"/>
    <col min="8" max="8" width="13.28515625" bestFit="1" customWidth="1"/>
    <col min="9" max="9" width="7.85546875" bestFit="1" customWidth="1"/>
    <col min="10" max="10" width="13.28515625" bestFit="1" customWidth="1"/>
    <col min="11" max="11" width="7.85546875" bestFit="1" customWidth="1"/>
    <col min="12" max="12" width="13.28515625" bestFit="1" customWidth="1"/>
    <col min="13" max="13" width="7.85546875" bestFit="1" customWidth="1"/>
    <col min="14" max="14" width="13.28515625" bestFit="1" customWidth="1"/>
    <col min="15" max="15" width="7.85546875" bestFit="1" customWidth="1"/>
    <col min="16" max="16" width="13.28515625" bestFit="1" customWidth="1"/>
    <col min="17" max="17" width="7.85546875" bestFit="1" customWidth="1"/>
    <col min="18" max="18" width="13.28515625" bestFit="1" customWidth="1"/>
    <col min="19" max="19" width="7.85546875" bestFit="1" customWidth="1"/>
  </cols>
  <sheetData>
    <row r="1" spans="1:19" ht="23.25" x14ac:dyDescent="0.35">
      <c r="A1" s="691" t="s">
        <v>361</v>
      </c>
      <c r="C1" s="1055" t="s">
        <v>82</v>
      </c>
      <c r="D1" s="1055"/>
    </row>
    <row r="2" spans="1:19" ht="28.5" x14ac:dyDescent="0.45">
      <c r="A2" s="14"/>
    </row>
    <row r="3" spans="1:19" x14ac:dyDescent="0.25">
      <c r="A3" s="657" t="s">
        <v>84</v>
      </c>
      <c r="B3" s="657" t="s">
        <v>85</v>
      </c>
    </row>
    <row r="4" spans="1:19" x14ac:dyDescent="0.25">
      <c r="A4" s="693" t="s">
        <v>87</v>
      </c>
      <c r="B4" s="179">
        <v>730</v>
      </c>
    </row>
    <row r="5" spans="1:19" x14ac:dyDescent="0.25">
      <c r="A5" s="693" t="s">
        <v>88</v>
      </c>
      <c r="B5" s="222">
        <f>B153</f>
        <v>0</v>
      </c>
      <c r="C5" s="111"/>
      <c r="D5" s="111"/>
      <c r="E5" s="111"/>
      <c r="F5" s="110"/>
      <c r="G5" s="111"/>
      <c r="H5" s="110"/>
      <c r="I5" s="110"/>
    </row>
    <row r="6" spans="1:19" x14ac:dyDescent="0.25">
      <c r="A6" s="693" t="s">
        <v>89</v>
      </c>
      <c r="B6" s="601">
        <f>B5/B4</f>
        <v>0</v>
      </c>
      <c r="C6" s="111"/>
      <c r="D6" s="111"/>
      <c r="E6" s="111"/>
      <c r="F6" s="110"/>
      <c r="G6" s="111"/>
      <c r="H6" s="110"/>
      <c r="I6" s="110"/>
    </row>
    <row r="7" spans="1:19" x14ac:dyDescent="0.25">
      <c r="A7" s="693" t="s">
        <v>135</v>
      </c>
      <c r="B7" s="179">
        <v>250</v>
      </c>
      <c r="C7" s="111"/>
      <c r="D7" s="111"/>
      <c r="E7" s="111"/>
      <c r="F7" s="110"/>
      <c r="G7" s="111"/>
      <c r="H7" s="110"/>
      <c r="I7" s="110"/>
    </row>
    <row r="8" spans="1:19" x14ac:dyDescent="0.25">
      <c r="A8" s="693" t="s">
        <v>362</v>
      </c>
      <c r="B8" s="426">
        <f>B6*B7</f>
        <v>0</v>
      </c>
      <c r="C8" s="111"/>
      <c r="D8" s="111"/>
      <c r="E8" s="111"/>
      <c r="F8" s="110"/>
      <c r="G8" s="111"/>
      <c r="H8" s="110"/>
      <c r="I8" s="110"/>
    </row>
    <row r="9" spans="1:19" ht="15.75" thickBot="1" x14ac:dyDescent="0.3">
      <c r="A9" s="41"/>
      <c r="B9" s="113"/>
      <c r="C9" s="111"/>
      <c r="D9" s="111"/>
      <c r="E9" s="111"/>
      <c r="F9" s="110"/>
      <c r="G9" s="111"/>
      <c r="H9" s="110"/>
      <c r="I9" s="110"/>
    </row>
    <row r="10" spans="1:19" ht="15.75" thickBot="1" x14ac:dyDescent="0.3">
      <c r="A10" s="645" t="s">
        <v>1236</v>
      </c>
      <c r="B10" s="1251" t="s">
        <v>363</v>
      </c>
      <c r="C10" s="1252"/>
      <c r="D10" s="1253"/>
      <c r="E10" s="1254" t="s">
        <v>36</v>
      </c>
      <c r="F10" s="1255"/>
      <c r="G10" s="1256"/>
      <c r="H10" s="1238"/>
      <c r="I10" s="1238"/>
      <c r="J10" s="1238"/>
      <c r="K10" s="1242"/>
      <c r="L10" s="1242"/>
      <c r="M10" s="1242"/>
      <c r="N10" s="1238"/>
      <c r="O10" s="1238"/>
      <c r="P10" s="1238"/>
      <c r="Q10" s="1242"/>
      <c r="R10" s="1242"/>
      <c r="S10" s="1242"/>
    </row>
    <row r="11" spans="1:19" x14ac:dyDescent="0.25">
      <c r="A11" s="442" t="s">
        <v>364</v>
      </c>
      <c r="B11" s="1239"/>
      <c r="C11" s="1239"/>
      <c r="D11" s="1239"/>
      <c r="E11" s="1240"/>
      <c r="F11" s="1240"/>
      <c r="G11" s="1241"/>
      <c r="H11" s="1238"/>
      <c r="I11" s="1238"/>
      <c r="J11" s="1238"/>
      <c r="K11" s="1238"/>
      <c r="L11" s="1238"/>
      <c r="M11" s="1238"/>
      <c r="N11" s="1238"/>
      <c r="O11" s="1238"/>
      <c r="P11" s="1238"/>
      <c r="Q11" s="1238"/>
      <c r="R11" s="1238"/>
      <c r="S11" s="1238"/>
    </row>
    <row r="12" spans="1:19" x14ac:dyDescent="0.25">
      <c r="A12" s="442" t="s">
        <v>365</v>
      </c>
      <c r="B12" s="1239"/>
      <c r="C12" s="1239"/>
      <c r="D12" s="1239"/>
      <c r="E12" s="1240"/>
      <c r="F12" s="1240"/>
      <c r="G12" s="1241"/>
      <c r="H12" s="1238"/>
      <c r="I12" s="1238"/>
      <c r="J12" s="1238"/>
      <c r="K12" s="1238"/>
      <c r="L12" s="1238"/>
      <c r="M12" s="1238"/>
      <c r="N12" s="1238"/>
      <c r="O12" s="1238"/>
      <c r="P12" s="1238"/>
      <c r="Q12" s="1238"/>
      <c r="R12" s="1238"/>
      <c r="S12" s="1238"/>
    </row>
    <row r="13" spans="1:19" x14ac:dyDescent="0.25">
      <c r="A13" s="442" t="s">
        <v>366</v>
      </c>
      <c r="B13" s="1239"/>
      <c r="C13" s="1239"/>
      <c r="D13" s="1239"/>
      <c r="E13" s="1240"/>
      <c r="F13" s="1240"/>
      <c r="G13" s="1241"/>
      <c r="H13" s="1238"/>
      <c r="I13" s="1238"/>
      <c r="J13" s="1238"/>
      <c r="K13" s="1238"/>
      <c r="L13" s="1238"/>
      <c r="M13" s="1238"/>
      <c r="N13" s="1238"/>
      <c r="O13" s="1238"/>
      <c r="P13" s="1238"/>
      <c r="Q13" s="1238"/>
      <c r="R13" s="1238"/>
      <c r="S13" s="1238"/>
    </row>
    <row r="14" spans="1:19" x14ac:dyDescent="0.25">
      <c r="A14" s="442" t="s">
        <v>367</v>
      </c>
      <c r="B14" s="1239"/>
      <c r="C14" s="1239"/>
      <c r="D14" s="1239"/>
      <c r="E14" s="1240"/>
      <c r="F14" s="1240"/>
      <c r="G14" s="1241"/>
      <c r="H14" s="1238"/>
      <c r="I14" s="1238"/>
      <c r="J14" s="1238"/>
      <c r="K14" s="1238"/>
      <c r="L14" s="1238"/>
      <c r="M14" s="1238"/>
      <c r="N14" s="1238"/>
      <c r="O14" s="1238"/>
      <c r="P14" s="1238"/>
      <c r="Q14" s="1238"/>
      <c r="R14" s="1238"/>
      <c r="S14" s="1238"/>
    </row>
    <row r="15" spans="1:19" x14ac:dyDescent="0.25">
      <c r="A15" s="442" t="s">
        <v>368</v>
      </c>
      <c r="B15" s="1239"/>
      <c r="C15" s="1239"/>
      <c r="D15" s="1239"/>
      <c r="E15" s="1240"/>
      <c r="F15" s="1240"/>
      <c r="G15" s="1241"/>
      <c r="H15" s="1238"/>
      <c r="I15" s="1238"/>
      <c r="J15" s="1238"/>
      <c r="K15" s="1238"/>
      <c r="L15" s="1238"/>
      <c r="M15" s="1238"/>
      <c r="N15" s="1238"/>
      <c r="O15" s="1238"/>
      <c r="P15" s="1238"/>
      <c r="Q15" s="1238"/>
      <c r="R15" s="1238"/>
      <c r="S15" s="1238"/>
    </row>
    <row r="16" spans="1:19" ht="15.75" thickBot="1" x14ac:dyDescent="0.3">
      <c r="A16" s="443" t="s">
        <v>1270</v>
      </c>
      <c r="B16" s="1239"/>
      <c r="C16" s="1239"/>
      <c r="D16" s="1239"/>
      <c r="E16" s="1240"/>
      <c r="F16" s="1240"/>
      <c r="G16" s="1241"/>
    </row>
    <row r="17" spans="1:19" ht="30.75" thickBot="1" x14ac:dyDescent="0.3">
      <c r="A17" s="645" t="s">
        <v>1237</v>
      </c>
      <c r="B17" s="1251" t="s">
        <v>363</v>
      </c>
      <c r="C17" s="1252"/>
      <c r="D17" s="1253"/>
      <c r="E17" s="1254" t="s">
        <v>36</v>
      </c>
      <c r="F17" s="1255"/>
      <c r="G17" s="1256"/>
      <c r="H17" s="1238"/>
      <c r="I17" s="1238"/>
      <c r="J17" s="1238"/>
      <c r="K17" s="1242"/>
      <c r="L17" s="1242"/>
      <c r="M17" s="1242"/>
      <c r="N17" s="1238"/>
      <c r="O17" s="1238"/>
      <c r="P17" s="1238"/>
      <c r="Q17" s="1242"/>
      <c r="R17" s="1242"/>
      <c r="S17" s="1242"/>
    </row>
    <row r="18" spans="1:19" x14ac:dyDescent="0.25">
      <c r="A18" s="442" t="s">
        <v>364</v>
      </c>
      <c r="B18" s="1239"/>
      <c r="C18" s="1239"/>
      <c r="D18" s="1239"/>
      <c r="E18" s="1240"/>
      <c r="F18" s="1240"/>
      <c r="G18" s="1241"/>
      <c r="H18" s="1238"/>
      <c r="I18" s="1238"/>
      <c r="J18" s="1238"/>
      <c r="K18" s="1238"/>
      <c r="L18" s="1238"/>
      <c r="M18" s="1238"/>
      <c r="N18" s="1238"/>
      <c r="O18" s="1238"/>
      <c r="P18" s="1238"/>
      <c r="Q18" s="1238"/>
      <c r="R18" s="1238"/>
      <c r="S18" s="1238"/>
    </row>
    <row r="19" spans="1:19" x14ac:dyDescent="0.25">
      <c r="A19" s="442" t="s">
        <v>365</v>
      </c>
      <c r="B19" s="1239"/>
      <c r="C19" s="1239"/>
      <c r="D19" s="1239"/>
      <c r="E19" s="1240"/>
      <c r="F19" s="1240"/>
      <c r="G19" s="1241"/>
      <c r="H19" s="1238"/>
      <c r="I19" s="1238"/>
      <c r="J19" s="1238"/>
      <c r="K19" s="1238"/>
      <c r="L19" s="1238"/>
      <c r="M19" s="1238"/>
      <c r="N19" s="1238"/>
      <c r="O19" s="1238"/>
      <c r="P19" s="1238"/>
      <c r="Q19" s="1238"/>
      <c r="R19" s="1238"/>
      <c r="S19" s="1238"/>
    </row>
    <row r="20" spans="1:19" x14ac:dyDescent="0.25">
      <c r="A20" s="442" t="s">
        <v>366</v>
      </c>
      <c r="B20" s="1239"/>
      <c r="C20" s="1239"/>
      <c r="D20" s="1239"/>
      <c r="E20" s="1240"/>
      <c r="F20" s="1240"/>
      <c r="G20" s="1241"/>
      <c r="H20" s="1238"/>
      <c r="I20" s="1238"/>
      <c r="J20" s="1238"/>
      <c r="K20" s="1238"/>
      <c r="L20" s="1238"/>
      <c r="M20" s="1238"/>
      <c r="N20" s="1238"/>
      <c r="O20" s="1238"/>
      <c r="P20" s="1238"/>
      <c r="Q20" s="1238"/>
      <c r="R20" s="1238"/>
      <c r="S20" s="1238"/>
    </row>
    <row r="21" spans="1:19" x14ac:dyDescent="0.25">
      <c r="A21" s="442" t="s">
        <v>367</v>
      </c>
      <c r="B21" s="1239"/>
      <c r="C21" s="1239"/>
      <c r="D21" s="1239"/>
      <c r="E21" s="1240"/>
      <c r="F21" s="1240"/>
      <c r="G21" s="1241"/>
      <c r="H21" s="1238"/>
      <c r="I21" s="1238"/>
      <c r="J21" s="1238"/>
      <c r="K21" s="1238"/>
      <c r="L21" s="1238"/>
      <c r="M21" s="1238"/>
      <c r="N21" s="1238"/>
      <c r="O21" s="1238"/>
      <c r="P21" s="1238"/>
      <c r="Q21" s="1238"/>
      <c r="R21" s="1238"/>
      <c r="S21" s="1238"/>
    </row>
    <row r="22" spans="1:19" x14ac:dyDescent="0.25">
      <c r="A22" s="442" t="s">
        <v>368</v>
      </c>
      <c r="B22" s="1239"/>
      <c r="C22" s="1239"/>
      <c r="D22" s="1239"/>
      <c r="E22" s="1240"/>
      <c r="F22" s="1240"/>
      <c r="G22" s="1241"/>
      <c r="H22" s="1238"/>
      <c r="I22" s="1238"/>
      <c r="J22" s="1238"/>
      <c r="K22" s="1238"/>
      <c r="L22" s="1238"/>
      <c r="M22" s="1238"/>
      <c r="N22" s="1238"/>
      <c r="O22" s="1238"/>
      <c r="P22" s="1238"/>
      <c r="Q22" s="1238"/>
      <c r="R22" s="1238"/>
      <c r="S22" s="1238"/>
    </row>
    <row r="23" spans="1:19" ht="15.75" thickBot="1" x14ac:dyDescent="0.3">
      <c r="A23" s="443" t="s">
        <v>1270</v>
      </c>
      <c r="B23" s="1239"/>
      <c r="C23" s="1239"/>
      <c r="D23" s="1239"/>
      <c r="E23" s="1240"/>
      <c r="F23" s="1240"/>
      <c r="G23" s="1241"/>
    </row>
    <row r="24" spans="1:19" ht="30.75" thickBot="1" x14ac:dyDescent="0.3">
      <c r="A24" s="463" t="s">
        <v>1238</v>
      </c>
      <c r="B24" s="1277" t="s">
        <v>363</v>
      </c>
      <c r="C24" s="1278"/>
      <c r="D24" s="1279"/>
      <c r="E24" s="1280" t="s">
        <v>36</v>
      </c>
      <c r="F24" s="1281"/>
      <c r="G24" s="1282"/>
      <c r="H24" s="1238"/>
      <c r="I24" s="1238"/>
      <c r="J24" s="1238"/>
      <c r="K24" s="1242"/>
      <c r="L24" s="1242"/>
      <c r="M24" s="1242"/>
      <c r="N24" s="1238"/>
      <c r="O24" s="1238"/>
      <c r="P24" s="1238"/>
      <c r="Q24" s="1242"/>
      <c r="R24" s="1242"/>
      <c r="S24" s="1242"/>
    </row>
    <row r="25" spans="1:19" x14ac:dyDescent="0.25">
      <c r="A25" s="464" t="s">
        <v>369</v>
      </c>
      <c r="B25" s="1272"/>
      <c r="C25" s="1272"/>
      <c r="D25" s="1272"/>
      <c r="E25" s="1273"/>
      <c r="F25" s="1273"/>
      <c r="G25" s="1274"/>
      <c r="H25" s="1238"/>
      <c r="I25" s="1238"/>
      <c r="J25" s="1238"/>
      <c r="K25" s="1238"/>
      <c r="L25" s="1238"/>
      <c r="M25" s="1238"/>
      <c r="N25" s="1238"/>
      <c r="O25" s="1238"/>
      <c r="P25" s="1238"/>
      <c r="Q25" s="1238"/>
      <c r="R25" s="1238"/>
      <c r="S25" s="1238"/>
    </row>
    <row r="26" spans="1:19" ht="15.75" thickBot="1" x14ac:dyDescent="0.3">
      <c r="A26" s="444" t="s">
        <v>370</v>
      </c>
      <c r="B26" s="1269"/>
      <c r="C26" s="1269"/>
      <c r="D26" s="1269"/>
      <c r="E26" s="1275"/>
      <c r="F26" s="1275"/>
      <c r="G26" s="1276"/>
      <c r="H26" s="1238"/>
      <c r="I26" s="1238"/>
      <c r="J26" s="1238"/>
      <c r="K26" s="1238"/>
      <c r="L26" s="1238"/>
      <c r="M26" s="1238"/>
      <c r="N26" s="1238"/>
      <c r="O26" s="1238"/>
      <c r="P26" s="1238"/>
      <c r="Q26" s="1238"/>
      <c r="R26" s="1238"/>
      <c r="S26" s="1238"/>
    </row>
    <row r="27" spans="1:19" ht="24" thickBot="1" x14ac:dyDescent="0.4">
      <c r="B27" s="1181">
        <f>'Respondent Information'!C6</f>
        <v>0</v>
      </c>
      <c r="C27" s="1270"/>
      <c r="D27" s="1270"/>
      <c r="E27" s="1270"/>
      <c r="F27" s="1270"/>
      <c r="G27" s="1270"/>
      <c r="H27" s="1283">
        <f>'Respondent Information'!C9</f>
        <v>0</v>
      </c>
      <c r="I27" s="1284"/>
      <c r="J27" s="1284"/>
      <c r="K27" s="1284"/>
      <c r="L27" s="1284"/>
      <c r="M27" s="1285"/>
      <c r="N27" s="1257">
        <f>'Respondent Information'!C12</f>
        <v>0</v>
      </c>
      <c r="O27" s="1258"/>
      <c r="P27" s="1258"/>
      <c r="Q27" s="1258"/>
      <c r="R27" s="1258"/>
      <c r="S27" s="1259"/>
    </row>
    <row r="28" spans="1:19" ht="30.75" thickBot="1" x14ac:dyDescent="0.3">
      <c r="A28" s="645" t="s">
        <v>1239</v>
      </c>
      <c r="B28" s="1251" t="s">
        <v>363</v>
      </c>
      <c r="C28" s="1252"/>
      <c r="D28" s="1253"/>
      <c r="E28" s="1254" t="s">
        <v>36</v>
      </c>
      <c r="F28" s="1255"/>
      <c r="G28" s="1255"/>
      <c r="H28" s="994" t="s">
        <v>363</v>
      </c>
      <c r="I28" s="1252"/>
      <c r="J28" s="1253"/>
      <c r="K28" s="1254" t="s">
        <v>36</v>
      </c>
      <c r="L28" s="1255"/>
      <c r="M28" s="1256"/>
      <c r="N28" s="994" t="s">
        <v>363</v>
      </c>
      <c r="O28" s="1252"/>
      <c r="P28" s="1253"/>
      <c r="Q28" s="1254" t="s">
        <v>36</v>
      </c>
      <c r="R28" s="1255"/>
      <c r="S28" s="1256"/>
    </row>
    <row r="29" spans="1:19" x14ac:dyDescent="0.25">
      <c r="A29" s="427" t="s">
        <v>369</v>
      </c>
      <c r="B29" s="1239"/>
      <c r="C29" s="1239"/>
      <c r="D29" s="1239"/>
      <c r="E29" s="1240"/>
      <c r="F29" s="1240"/>
      <c r="G29" s="1271"/>
      <c r="H29" s="1267"/>
      <c r="I29" s="1239"/>
      <c r="J29" s="1239"/>
      <c r="K29" s="1240"/>
      <c r="L29" s="1240"/>
      <c r="M29" s="1241"/>
      <c r="N29" s="1267"/>
      <c r="O29" s="1239"/>
      <c r="P29" s="1239"/>
      <c r="Q29" s="1240"/>
      <c r="R29" s="1240"/>
      <c r="S29" s="1241"/>
    </row>
    <row r="30" spans="1:19" x14ac:dyDescent="0.25">
      <c r="A30" s="427" t="s">
        <v>370</v>
      </c>
      <c r="B30" s="1239"/>
      <c r="C30" s="1239"/>
      <c r="D30" s="1239"/>
      <c r="E30" s="1240"/>
      <c r="F30" s="1240"/>
      <c r="G30" s="1271"/>
      <c r="H30" s="1267"/>
      <c r="I30" s="1239"/>
      <c r="J30" s="1239"/>
      <c r="K30" s="1240"/>
      <c r="L30" s="1240"/>
      <c r="M30" s="1241"/>
      <c r="N30" s="1267"/>
      <c r="O30" s="1239"/>
      <c r="P30" s="1239"/>
      <c r="Q30" s="1240"/>
      <c r="R30" s="1240"/>
      <c r="S30" s="1241"/>
    </row>
    <row r="31" spans="1:19" ht="15.75" thickBot="1" x14ac:dyDescent="0.3">
      <c r="A31" s="427" t="s">
        <v>371</v>
      </c>
      <c r="B31" s="1239"/>
      <c r="C31" s="1239"/>
      <c r="D31" s="1239"/>
      <c r="E31" s="1240"/>
      <c r="F31" s="1240"/>
      <c r="G31" s="1271"/>
      <c r="H31" s="1268"/>
      <c r="I31" s="1269"/>
      <c r="J31" s="1269"/>
      <c r="K31" s="1275"/>
      <c r="L31" s="1275"/>
      <c r="M31" s="1276"/>
      <c r="N31" s="1268"/>
      <c r="O31" s="1269"/>
      <c r="P31" s="1269"/>
      <c r="Q31" s="1275"/>
      <c r="R31" s="1275"/>
      <c r="S31" s="1276"/>
    </row>
    <row r="32" spans="1:19" ht="30.75" customHeight="1" x14ac:dyDescent="0.25">
      <c r="A32" s="1288" t="s">
        <v>1240</v>
      </c>
      <c r="B32" s="1260">
        <v>2020</v>
      </c>
      <c r="C32" s="1261"/>
      <c r="D32" s="1261">
        <v>2021</v>
      </c>
      <c r="E32" s="1261"/>
      <c r="F32" s="1261">
        <v>2022</v>
      </c>
      <c r="G32" s="1262"/>
      <c r="H32" s="1295">
        <v>2020</v>
      </c>
      <c r="I32" s="1296"/>
      <c r="J32" s="1296">
        <v>2021</v>
      </c>
      <c r="K32" s="1296"/>
      <c r="L32" s="1296">
        <v>2022</v>
      </c>
      <c r="M32" s="1297"/>
      <c r="N32" s="1292">
        <v>2020</v>
      </c>
      <c r="O32" s="1293"/>
      <c r="P32" s="1293">
        <v>2021</v>
      </c>
      <c r="Q32" s="1293"/>
      <c r="R32" s="1293">
        <v>2022</v>
      </c>
      <c r="S32" s="1294"/>
    </row>
    <row r="33" spans="1:19" ht="15.75" thickBot="1" x14ac:dyDescent="0.3">
      <c r="A33" s="1289"/>
      <c r="B33" s="439" t="s">
        <v>363</v>
      </c>
      <c r="C33" s="434" t="s">
        <v>36</v>
      </c>
      <c r="D33" s="434" t="s">
        <v>363</v>
      </c>
      <c r="E33" s="435" t="s">
        <v>36</v>
      </c>
      <c r="F33" s="434" t="s">
        <v>363</v>
      </c>
      <c r="G33" s="436" t="s">
        <v>36</v>
      </c>
      <c r="H33" s="437" t="s">
        <v>363</v>
      </c>
      <c r="I33" s="434" t="s">
        <v>36</v>
      </c>
      <c r="J33" s="434" t="s">
        <v>363</v>
      </c>
      <c r="K33" s="434" t="s">
        <v>36</v>
      </c>
      <c r="L33" s="434" t="s">
        <v>363</v>
      </c>
      <c r="M33" s="436" t="s">
        <v>36</v>
      </c>
      <c r="N33" s="437" t="s">
        <v>363</v>
      </c>
      <c r="O33" s="434" t="s">
        <v>36</v>
      </c>
      <c r="P33" s="434" t="s">
        <v>363</v>
      </c>
      <c r="Q33" s="434" t="s">
        <v>36</v>
      </c>
      <c r="R33" s="434" t="s">
        <v>363</v>
      </c>
      <c r="S33" s="438" t="s">
        <v>36</v>
      </c>
    </row>
    <row r="34" spans="1:19" x14ac:dyDescent="0.25">
      <c r="A34" s="427" t="s">
        <v>369</v>
      </c>
      <c r="B34" s="669"/>
      <c r="C34" s="665"/>
      <c r="D34" s="669"/>
      <c r="E34" s="665"/>
      <c r="F34" s="669"/>
      <c r="G34" s="665"/>
      <c r="H34" s="668"/>
      <c r="I34" s="665"/>
      <c r="J34" s="669"/>
      <c r="K34" s="665"/>
      <c r="L34" s="669"/>
      <c r="M34" s="675"/>
      <c r="N34" s="668"/>
      <c r="O34" s="665"/>
      <c r="P34" s="669"/>
      <c r="Q34" s="665"/>
      <c r="R34" s="669"/>
      <c r="S34" s="666"/>
    </row>
    <row r="35" spans="1:19" x14ac:dyDescent="0.25">
      <c r="A35" s="427" t="s">
        <v>370</v>
      </c>
      <c r="B35" s="669"/>
      <c r="C35" s="665"/>
      <c r="D35" s="669"/>
      <c r="E35" s="665"/>
      <c r="F35" s="669"/>
      <c r="G35" s="665"/>
      <c r="H35" s="668"/>
      <c r="I35" s="665"/>
      <c r="J35" s="669"/>
      <c r="K35" s="665"/>
      <c r="L35" s="669"/>
      <c r="M35" s="675"/>
      <c r="N35" s="668"/>
      <c r="O35" s="665"/>
      <c r="P35" s="669"/>
      <c r="Q35" s="665"/>
      <c r="R35" s="669"/>
      <c r="S35" s="666"/>
    </row>
    <row r="36" spans="1:19" ht="15.75" thickBot="1" x14ac:dyDescent="0.3">
      <c r="A36" s="427" t="s">
        <v>372</v>
      </c>
      <c r="B36" s="543"/>
      <c r="C36" s="530"/>
      <c r="D36" s="543"/>
      <c r="E36" s="530"/>
      <c r="F36" s="543"/>
      <c r="G36" s="530"/>
      <c r="H36" s="544"/>
      <c r="I36" s="530"/>
      <c r="J36" s="543"/>
      <c r="K36" s="530"/>
      <c r="L36" s="543"/>
      <c r="M36" s="531"/>
      <c r="N36" s="544"/>
      <c r="O36" s="530"/>
      <c r="P36" s="543"/>
      <c r="Q36" s="530"/>
      <c r="R36" s="543"/>
      <c r="S36" s="532"/>
    </row>
    <row r="37" spans="1:19" ht="30.75" customHeight="1" x14ac:dyDescent="0.25">
      <c r="A37" s="1249" t="s">
        <v>1241</v>
      </c>
      <c r="B37" s="1260">
        <v>2020</v>
      </c>
      <c r="C37" s="1261"/>
      <c r="D37" s="1261">
        <v>2021</v>
      </c>
      <c r="E37" s="1261"/>
      <c r="F37" s="1261">
        <v>2022</v>
      </c>
      <c r="G37" s="1262"/>
      <c r="H37" s="1263">
        <v>2020</v>
      </c>
      <c r="I37" s="1264"/>
      <c r="J37" s="1264">
        <v>2021</v>
      </c>
      <c r="K37" s="1264"/>
      <c r="L37" s="1264">
        <v>2022</v>
      </c>
      <c r="M37" s="1265"/>
      <c r="N37" s="1260">
        <v>2020</v>
      </c>
      <c r="O37" s="1261"/>
      <c r="P37" s="1261">
        <v>2021</v>
      </c>
      <c r="Q37" s="1261"/>
      <c r="R37" s="1261">
        <v>2022</v>
      </c>
      <c r="S37" s="1266"/>
    </row>
    <row r="38" spans="1:19" ht="15.75" thickBot="1" x14ac:dyDescent="0.3">
      <c r="A38" s="1250"/>
      <c r="B38" s="428" t="s">
        <v>363</v>
      </c>
      <c r="C38" s="428" t="s">
        <v>36</v>
      </c>
      <c r="D38" s="428" t="s">
        <v>363</v>
      </c>
      <c r="E38" s="429" t="s">
        <v>36</v>
      </c>
      <c r="F38" s="428" t="s">
        <v>363</v>
      </c>
      <c r="G38" s="430" t="s">
        <v>36</v>
      </c>
      <c r="H38" s="431" t="s">
        <v>363</v>
      </c>
      <c r="I38" s="428" t="s">
        <v>36</v>
      </c>
      <c r="J38" s="428" t="s">
        <v>363</v>
      </c>
      <c r="K38" s="428" t="s">
        <v>36</v>
      </c>
      <c r="L38" s="428" t="s">
        <v>363</v>
      </c>
      <c r="M38" s="432" t="s">
        <v>36</v>
      </c>
      <c r="N38" s="433" t="s">
        <v>363</v>
      </c>
      <c r="O38" s="428" t="s">
        <v>36</v>
      </c>
      <c r="P38" s="428" t="s">
        <v>363</v>
      </c>
      <c r="Q38" s="428" t="s">
        <v>36</v>
      </c>
      <c r="R38" s="428" t="s">
        <v>363</v>
      </c>
      <c r="S38" s="432" t="s">
        <v>36</v>
      </c>
    </row>
    <row r="39" spans="1:19" ht="15.75" thickBot="1" x14ac:dyDescent="0.3">
      <c r="A39" s="645" t="s">
        <v>373</v>
      </c>
      <c r="B39" s="885">
        <f>SUM(B40:B43)</f>
        <v>0</v>
      </c>
      <c r="C39" s="318"/>
      <c r="D39" s="885">
        <f>SUM(D40:D43)</f>
        <v>0</v>
      </c>
      <c r="E39" s="319"/>
      <c r="F39" s="885">
        <f>SUM(F40:F43)</f>
        <v>0</v>
      </c>
      <c r="G39" s="401"/>
      <c r="H39" s="886">
        <f>SUM(H40:H43)</f>
        <v>0</v>
      </c>
      <c r="I39" s="319"/>
      <c r="J39" s="885">
        <f>SUM(J40:J43)</f>
        <v>0</v>
      </c>
      <c r="K39" s="319"/>
      <c r="L39" s="885">
        <f>SUM(L40:L43)</f>
        <v>0</v>
      </c>
      <c r="M39" s="404"/>
      <c r="N39" s="887">
        <f>SUM(N40:N43)</f>
        <v>0</v>
      </c>
      <c r="O39" s="319"/>
      <c r="P39" s="887">
        <f>SUM(P40:P43)</f>
        <v>0</v>
      </c>
      <c r="Q39" s="319"/>
      <c r="R39" s="887">
        <f>SUM(R40:R43)</f>
        <v>0</v>
      </c>
      <c r="S39" s="481"/>
    </row>
    <row r="40" spans="1:19" x14ac:dyDescent="0.25">
      <c r="A40" s="442" t="s">
        <v>374</v>
      </c>
      <c r="B40" s="545"/>
      <c r="C40" s="320">
        <f>IF(B39=0, 0, B40/$B$39)</f>
        <v>0</v>
      </c>
      <c r="D40" s="545"/>
      <c r="E40" s="320">
        <f>IF(ISBLANK(D40), 0, D40/D$39)</f>
        <v>0</v>
      </c>
      <c r="F40" s="545"/>
      <c r="G40" s="402">
        <f>IF($F$39=0, 0, F40/F$39)</f>
        <v>0</v>
      </c>
      <c r="H40" s="546"/>
      <c r="I40" s="320">
        <f>IF(ISBLANK(H40), 0, H40/H$39)</f>
        <v>0</v>
      </c>
      <c r="J40" s="545"/>
      <c r="K40" s="320">
        <f>IF(ISBLANK(J40), 0, J40/J$39)</f>
        <v>0</v>
      </c>
      <c r="L40" s="545"/>
      <c r="M40" s="405">
        <f>IF(ISBLANK(L40), 0, L40/L$39)</f>
        <v>0</v>
      </c>
      <c r="N40" s="545"/>
      <c r="O40" s="320">
        <f>IF(ISBLANK(N40), 0, N40/N$39)</f>
        <v>0</v>
      </c>
      <c r="P40" s="545"/>
      <c r="Q40" s="320">
        <f>IF(ISBLANK(P40), 0, P40/P$39)</f>
        <v>0</v>
      </c>
      <c r="R40" s="545"/>
      <c r="S40" s="405">
        <f>IF(ISBLANK(R40), 0, R40/$R$39)</f>
        <v>0</v>
      </c>
    </row>
    <row r="41" spans="1:19" x14ac:dyDescent="0.25">
      <c r="A41" s="442" t="s">
        <v>375</v>
      </c>
      <c r="B41" s="669"/>
      <c r="C41" s="320">
        <f>IF(ISBLANK(B40), 0, B41/$B$39)</f>
        <v>0</v>
      </c>
      <c r="D41" s="669"/>
      <c r="E41" s="320">
        <f>IF(ISBLANK(D41), 0, D41/D$39)</f>
        <v>0</v>
      </c>
      <c r="F41" s="669"/>
      <c r="G41" s="402">
        <f>IF(ISBLANK(F41), 0, F41/F$39)</f>
        <v>0</v>
      </c>
      <c r="H41" s="668"/>
      <c r="I41" s="320">
        <f>IF(ISBLANK(H41), 0, H41/H$39)</f>
        <v>0</v>
      </c>
      <c r="J41" s="669"/>
      <c r="K41" s="320">
        <f>IF(ISBLANK(J41), 0, J41/J$39)</f>
        <v>0</v>
      </c>
      <c r="L41" s="669"/>
      <c r="M41" s="405">
        <f>IF(ISBLANK(L41), 0, L41/L$39)</f>
        <v>0</v>
      </c>
      <c r="N41" s="669"/>
      <c r="O41" s="320">
        <f>IF(ISBLANK(N41), 0, N41/N$39)</f>
        <v>0</v>
      </c>
      <c r="P41" s="669"/>
      <c r="Q41" s="320">
        <f>IF(ISBLANK(P41), 0, P41/P$39)</f>
        <v>0</v>
      </c>
      <c r="R41" s="669"/>
      <c r="S41" s="405">
        <f>IF(ISBLANK(R41), 0, R41/$R$39)</f>
        <v>0</v>
      </c>
    </row>
    <row r="42" spans="1:19" x14ac:dyDescent="0.25">
      <c r="A42" s="442" t="s">
        <v>376</v>
      </c>
      <c r="B42" s="669"/>
      <c r="C42" s="320">
        <f>IF(ISBLANK(B41), 0, B42/$B$39)</f>
        <v>0</v>
      </c>
      <c r="D42" s="669"/>
      <c r="E42" s="320">
        <f>IF(ISBLANK(D42), 0, D42/D$39)</f>
        <v>0</v>
      </c>
      <c r="F42" s="669"/>
      <c r="G42" s="402">
        <f>IF(ISBLANK(F42), 0, F42/F$39)</f>
        <v>0</v>
      </c>
      <c r="H42" s="668"/>
      <c r="I42" s="320">
        <f>IF(ISBLANK(H42), 0, H42/H$39)</f>
        <v>0</v>
      </c>
      <c r="J42" s="669"/>
      <c r="K42" s="320">
        <f>IF(ISBLANK(J42), 0, J42/J$39)</f>
        <v>0</v>
      </c>
      <c r="L42" s="669"/>
      <c r="M42" s="405">
        <f>IF(ISBLANK(L42), 0, L42/L$39)</f>
        <v>0</v>
      </c>
      <c r="N42" s="669"/>
      <c r="O42" s="320">
        <f>IF(ISBLANK(N42), 0, N42/N$39)</f>
        <v>0</v>
      </c>
      <c r="P42" s="669"/>
      <c r="Q42" s="320">
        <f>IF(ISBLANK(P42), 0, P42/P$39)</f>
        <v>0</v>
      </c>
      <c r="R42" s="669"/>
      <c r="S42" s="405">
        <f>IF(ISBLANK(R42), 0, R42/$R$39)</f>
        <v>0</v>
      </c>
    </row>
    <row r="43" spans="1:19" ht="15.75" thickBot="1" x14ac:dyDescent="0.3">
      <c r="A43" s="443" t="s">
        <v>377</v>
      </c>
      <c r="B43" s="543"/>
      <c r="C43" s="321">
        <f>IF(ISBLANK(B42), 0, B43/$B$39)</f>
        <v>0</v>
      </c>
      <c r="D43" s="543"/>
      <c r="E43" s="321">
        <f>IF(ISBLANK(D43), 0, D43/D$39)</f>
        <v>0</v>
      </c>
      <c r="F43" s="543"/>
      <c r="G43" s="477">
        <f>IF(ISBLANK(F43), 0, F43/F$39)</f>
        <v>0</v>
      </c>
      <c r="H43" s="544"/>
      <c r="I43" s="321">
        <f>IF(ISBLANK(H43), 0, H43/H$39)</f>
        <v>0</v>
      </c>
      <c r="J43" s="543"/>
      <c r="K43" s="321">
        <f>IF(ISBLANK(J43), 0, J43/J$39)</f>
        <v>0</v>
      </c>
      <c r="L43" s="543"/>
      <c r="M43" s="478">
        <f>IF(ISBLANK(L43), 0, L43/L$39)</f>
        <v>0</v>
      </c>
      <c r="N43" s="543"/>
      <c r="O43" s="321">
        <f>IF(ISBLANK(N43), 0, N43/N$39)</f>
        <v>0</v>
      </c>
      <c r="P43" s="543"/>
      <c r="Q43" s="321">
        <f>IF(ISBLANK(P43), 0, P43/P$39)</f>
        <v>0</v>
      </c>
      <c r="R43" s="543"/>
      <c r="S43" s="478">
        <f>IF(ISBLANK(R43), 0, R43/$R$39)</f>
        <v>0</v>
      </c>
    </row>
    <row r="44" spans="1:19" ht="15.75" thickBot="1" x14ac:dyDescent="0.3">
      <c r="A44" s="645" t="s">
        <v>378</v>
      </c>
      <c r="B44" s="887">
        <f>SUM(B45:B48)</f>
        <v>0</v>
      </c>
      <c r="C44" s="322">
        <f>IF(ISBLANK(B43), 0, B44/$B$39)</f>
        <v>0</v>
      </c>
      <c r="D44" s="887">
        <f>SUM(D45:D48)</f>
        <v>0</v>
      </c>
      <c r="E44" s="322">
        <f>IF(D44=0, 0, D44/D$39)</f>
        <v>0</v>
      </c>
      <c r="F44" s="887">
        <f>SUM(F45:F48)</f>
        <v>0</v>
      </c>
      <c r="G44" s="403">
        <f>IF(F44=0, 0, F44/F$39)</f>
        <v>0</v>
      </c>
      <c r="H44" s="886">
        <f>SUM(H45:H48)</f>
        <v>0</v>
      </c>
      <c r="I44" s="322">
        <f>IF(H44=0, 0, H44/H$39)</f>
        <v>0</v>
      </c>
      <c r="J44" s="887">
        <f>SUM(J45:J48)</f>
        <v>0</v>
      </c>
      <c r="K44" s="322">
        <f>IF(J44=0, 0, J44/J$39)</f>
        <v>0</v>
      </c>
      <c r="L44" s="887">
        <f>SUM(L45:L48)</f>
        <v>0</v>
      </c>
      <c r="M44" s="406">
        <f>IF(L44=0, 0, L44/L$39)</f>
        <v>0</v>
      </c>
      <c r="N44" s="887">
        <f>SUM(N45:N48)</f>
        <v>0</v>
      </c>
      <c r="O44" s="322">
        <f>IF(N44=0, 0, N44/N$39)</f>
        <v>0</v>
      </c>
      <c r="P44" s="887">
        <f>SUM(P45:P48)</f>
        <v>0</v>
      </c>
      <c r="Q44" s="322">
        <f>IF(P44=0, 0, P44/P$39)</f>
        <v>0</v>
      </c>
      <c r="R44" s="887">
        <f>SUM(R45:R48)</f>
        <v>0</v>
      </c>
      <c r="S44" s="406">
        <f>IF(R44=0, 0, R44/$R$39)</f>
        <v>0</v>
      </c>
    </row>
    <row r="45" spans="1:19" x14ac:dyDescent="0.25">
      <c r="A45" s="442" t="s">
        <v>374</v>
      </c>
      <c r="B45" s="545"/>
      <c r="C45" s="320">
        <f>IF(ISBLANK(B45), 0, B45/$B$44)</f>
        <v>0</v>
      </c>
      <c r="D45" s="545"/>
      <c r="E45" s="320">
        <f>IF(ISBLANK(D45), 0, D45/D$44)</f>
        <v>0</v>
      </c>
      <c r="F45" s="545"/>
      <c r="G45" s="402">
        <f>IF(ISBLANK(F45), 0, F45/F$44)</f>
        <v>0</v>
      </c>
      <c r="H45" s="546"/>
      <c r="I45" s="320">
        <f>IF(ISBLANK(H45), 0, H45/H$44)</f>
        <v>0</v>
      </c>
      <c r="J45" s="545"/>
      <c r="K45" s="320">
        <f>IF(ISBLANK(J45), 0, J45/J$44)</f>
        <v>0</v>
      </c>
      <c r="L45" s="545"/>
      <c r="M45" s="405">
        <f>IF(ISBLANK(L45), 0, L45/L$44)</f>
        <v>0</v>
      </c>
      <c r="N45" s="545"/>
      <c r="O45" s="320">
        <f>IF(ISBLANK(N45), 0, N45/N$44)</f>
        <v>0</v>
      </c>
      <c r="P45" s="545"/>
      <c r="Q45" s="320">
        <f>IF(ISBLANK(P45), 0, P45/P$44)</f>
        <v>0</v>
      </c>
      <c r="R45" s="545"/>
      <c r="S45" s="405">
        <f>IF(ISBLANK(R45), 0, R45/$R$44)</f>
        <v>0</v>
      </c>
    </row>
    <row r="46" spans="1:19" x14ac:dyDescent="0.25">
      <c r="A46" s="442" t="s">
        <v>375</v>
      </c>
      <c r="B46" s="669"/>
      <c r="C46" s="320">
        <f>IF(ISBLANK(B46), 0, B46/$B$44)</f>
        <v>0</v>
      </c>
      <c r="D46" s="669"/>
      <c r="E46" s="320">
        <f>IF(ISBLANK(D46), 0, D46/D$44)</f>
        <v>0</v>
      </c>
      <c r="F46" s="669"/>
      <c r="G46" s="402">
        <f>IF(ISBLANK(F46), 0, F46/F$44)</f>
        <v>0</v>
      </c>
      <c r="H46" s="668"/>
      <c r="I46" s="320">
        <f>IF(ISBLANK(H46), 0, H46/H$44)</f>
        <v>0</v>
      </c>
      <c r="J46" s="669"/>
      <c r="K46" s="320">
        <f>IF(ISBLANK(J46), 0, J46/J$44)</f>
        <v>0</v>
      </c>
      <c r="L46" s="669"/>
      <c r="M46" s="405">
        <f>IF(ISBLANK(L46), 0, L46/L$44)</f>
        <v>0</v>
      </c>
      <c r="N46" s="669"/>
      <c r="O46" s="320">
        <f>IF(ISBLANK(N46), 0, N46/N$44)</f>
        <v>0</v>
      </c>
      <c r="P46" s="669"/>
      <c r="Q46" s="320">
        <f>IF(ISBLANK(P46), 0, P46/P$44)</f>
        <v>0</v>
      </c>
      <c r="R46" s="669"/>
      <c r="S46" s="405">
        <f>IF(ISBLANK(R46), 0, R46/$R$44)</f>
        <v>0</v>
      </c>
    </row>
    <row r="47" spans="1:19" x14ac:dyDescent="0.25">
      <c r="A47" s="442" t="s">
        <v>376</v>
      </c>
      <c r="B47" s="669"/>
      <c r="C47" s="320">
        <f>IF(ISBLANK(B47), 0, B47/$B$44)</f>
        <v>0</v>
      </c>
      <c r="D47" s="669"/>
      <c r="E47" s="320">
        <f>IF(ISBLANK(D47), 0, D47/D$44)</f>
        <v>0</v>
      </c>
      <c r="F47" s="669"/>
      <c r="G47" s="402">
        <f>IF(ISBLANK(F47), 0, F47/F$44)</f>
        <v>0</v>
      </c>
      <c r="H47" s="668"/>
      <c r="I47" s="320">
        <f>IF(ISBLANK(H47), 0, H47/H$44)</f>
        <v>0</v>
      </c>
      <c r="J47" s="669"/>
      <c r="K47" s="320">
        <f>IF(ISBLANK(J47), 0, J47/J$44)</f>
        <v>0</v>
      </c>
      <c r="L47" s="669"/>
      <c r="M47" s="405">
        <f>IF(ISBLANK(L47), 0, L47/L$44)</f>
        <v>0</v>
      </c>
      <c r="N47" s="669"/>
      <c r="O47" s="320">
        <f>IF(ISBLANK(N47), 0, N47/N$44)</f>
        <v>0</v>
      </c>
      <c r="P47" s="669"/>
      <c r="Q47" s="320">
        <f>IF(ISBLANK(P47), 0, P47/P$44)</f>
        <v>0</v>
      </c>
      <c r="R47" s="669"/>
      <c r="S47" s="405">
        <f>IF(ISBLANK(R47), 0, R47/$R$44)</f>
        <v>0</v>
      </c>
    </row>
    <row r="48" spans="1:19" ht="15.75" thickBot="1" x14ac:dyDescent="0.3">
      <c r="A48" s="443" t="s">
        <v>377</v>
      </c>
      <c r="B48" s="543"/>
      <c r="C48" s="320">
        <f>IF(ISBLANK(B48), 0, B48/$B$44)</f>
        <v>0</v>
      </c>
      <c r="D48" s="543"/>
      <c r="E48" s="320">
        <f>IF(ISBLANK(D48), 0, D48/D$44)</f>
        <v>0</v>
      </c>
      <c r="F48" s="543"/>
      <c r="G48" s="402">
        <f>IF(ISBLANK(F48), 0, F48/F$44)</f>
        <v>0</v>
      </c>
      <c r="H48" s="544"/>
      <c r="I48" s="320">
        <f>IF(ISBLANK(H48), 0, H48/H$44)</f>
        <v>0</v>
      </c>
      <c r="J48" s="543"/>
      <c r="K48" s="320">
        <f>IF(ISBLANK(J48), 0, J48/J$44)</f>
        <v>0</v>
      </c>
      <c r="L48" s="543"/>
      <c r="M48" s="405">
        <f>IF(ISBLANK(L48), 0, L48/L$44)</f>
        <v>0</v>
      </c>
      <c r="N48" s="543"/>
      <c r="O48" s="320">
        <f>IF(ISBLANK(N48), 0, N48/N$44)</f>
        <v>0</v>
      </c>
      <c r="P48" s="543"/>
      <c r="Q48" s="320">
        <f>IF(ISBLANK(P48), 0, P48/P$44)</f>
        <v>0</v>
      </c>
      <c r="R48" s="543"/>
      <c r="S48" s="405">
        <f>IF(ISBLANK(R48), 0, R48/$R$44)</f>
        <v>0</v>
      </c>
    </row>
    <row r="49" spans="1:19" ht="15.75" thickBot="1" x14ac:dyDescent="0.3">
      <c r="A49" s="645" t="s">
        <v>379</v>
      </c>
      <c r="B49" s="887">
        <f>SUM(B50:B53)</f>
        <v>0</v>
      </c>
      <c r="C49" s="322">
        <f>IF(B39=0, 0, B49/$B$39)</f>
        <v>0</v>
      </c>
      <c r="D49" s="887">
        <f>SUM(D50:D53)</f>
        <v>0</v>
      </c>
      <c r="E49" s="322">
        <f>IF(D49=0, 0, D49/D$39)</f>
        <v>0</v>
      </c>
      <c r="F49" s="887">
        <f>SUM(F50:F53)</f>
        <v>0</v>
      </c>
      <c r="G49" s="403">
        <f>IF(F49=0, 0, F49/F$39)</f>
        <v>0</v>
      </c>
      <c r="H49" s="886">
        <f>SUM(H50:H53)</f>
        <v>0</v>
      </c>
      <c r="I49" s="322">
        <f>IF(H49=0, 0, H49/H$39)</f>
        <v>0</v>
      </c>
      <c r="J49" s="887">
        <f>SUM(J50:J53)</f>
        <v>0</v>
      </c>
      <c r="K49" s="322">
        <f>IF(J49=0, 0, J49/J$39)</f>
        <v>0</v>
      </c>
      <c r="L49" s="887">
        <f>SUM(L50:L53)</f>
        <v>0</v>
      </c>
      <c r="M49" s="406">
        <f>IF(L49=0, 0, L49/L$39)</f>
        <v>0</v>
      </c>
      <c r="N49" s="887">
        <f>SUM(N50:N53)</f>
        <v>0</v>
      </c>
      <c r="O49" s="322">
        <f>IF(N49=0, 0, N49/N$39)</f>
        <v>0</v>
      </c>
      <c r="P49" s="887">
        <f>SUM(P50:P53)</f>
        <v>0</v>
      </c>
      <c r="Q49" s="322">
        <f>IF(P49=0, 0, P49/P$39)</f>
        <v>0</v>
      </c>
      <c r="R49" s="887">
        <f>SUM(R50:R53)</f>
        <v>0</v>
      </c>
      <c r="S49" s="406">
        <f>IF(R49=0, 0, R49/$R$39)</f>
        <v>0</v>
      </c>
    </row>
    <row r="50" spans="1:19" x14ac:dyDescent="0.25">
      <c r="A50" s="442" t="s">
        <v>374</v>
      </c>
      <c r="B50" s="545"/>
      <c r="C50" s="320">
        <f>IF(ISBLANK(B50), 0, B50/$B$49)</f>
        <v>0</v>
      </c>
      <c r="D50" s="545"/>
      <c r="E50" s="320">
        <f>IF(ISBLANK(D50), 0, D50/D$49)</f>
        <v>0</v>
      </c>
      <c r="F50" s="545"/>
      <c r="G50" s="402">
        <f>IF(ISBLANK(F50), 0, F50/F$49)</f>
        <v>0</v>
      </c>
      <c r="H50" s="546"/>
      <c r="I50" s="320">
        <f>IF(ISBLANK(H50), 0, H50/H$49)</f>
        <v>0</v>
      </c>
      <c r="J50" s="545"/>
      <c r="K50" s="320">
        <f>IF(ISBLANK(J50), 0, J50/J$49)</f>
        <v>0</v>
      </c>
      <c r="L50" s="545"/>
      <c r="M50" s="405">
        <f>IF(ISBLANK(L50), 0, L50/L$49)</f>
        <v>0</v>
      </c>
      <c r="N50" s="545"/>
      <c r="O50" s="320">
        <f>IF(ISBLANK(N50), 0, N50/N$49)</f>
        <v>0</v>
      </c>
      <c r="P50" s="545"/>
      <c r="Q50" s="320">
        <f>IF(ISBLANK(P50), 0, P50/P$49)</f>
        <v>0</v>
      </c>
      <c r="R50" s="545"/>
      <c r="S50" s="405">
        <f>IF(ISBLANK(R50), 0, R50/$R$49)</f>
        <v>0</v>
      </c>
    </row>
    <row r="51" spans="1:19" x14ac:dyDescent="0.25">
      <c r="A51" s="442" t="s">
        <v>375</v>
      </c>
      <c r="B51" s="669"/>
      <c r="C51" s="320">
        <f>IF(ISBLANK(B51), 0, B51/$B$49)</f>
        <v>0</v>
      </c>
      <c r="D51" s="669"/>
      <c r="E51" s="320">
        <f>IF(ISBLANK(D51), 0, D51/D$49)</f>
        <v>0</v>
      </c>
      <c r="F51" s="669"/>
      <c r="G51" s="402">
        <f>IF(ISBLANK(F51), 0, F51/F$49)</f>
        <v>0</v>
      </c>
      <c r="H51" s="668"/>
      <c r="I51" s="320">
        <f>IF(ISBLANK(H51), 0, H51/H$49)</f>
        <v>0</v>
      </c>
      <c r="J51" s="669"/>
      <c r="K51" s="320">
        <f>IF(ISBLANK(J51), 0, J51/J$49)</f>
        <v>0</v>
      </c>
      <c r="L51" s="669"/>
      <c r="M51" s="405">
        <f>IF(ISBLANK(L51), 0, L51/L$49)</f>
        <v>0</v>
      </c>
      <c r="N51" s="669"/>
      <c r="O51" s="320">
        <f>IF(ISBLANK(N51), 0, N51/N$49)</f>
        <v>0</v>
      </c>
      <c r="P51" s="669"/>
      <c r="Q51" s="320">
        <f>IF(ISBLANK(P51), 0, P51/P$49)</f>
        <v>0</v>
      </c>
      <c r="R51" s="669"/>
      <c r="S51" s="405">
        <f>IF(ISBLANK(R51), 0, R51/$R$49)</f>
        <v>0</v>
      </c>
    </row>
    <row r="52" spans="1:19" x14ac:dyDescent="0.25">
      <c r="A52" s="442" t="s">
        <v>376</v>
      </c>
      <c r="B52" s="669"/>
      <c r="C52" s="320">
        <f>IF(ISBLANK(B52), 0, B52/$B$49)</f>
        <v>0</v>
      </c>
      <c r="D52" s="669"/>
      <c r="E52" s="320">
        <f>IF(ISBLANK(D52), 0, D52/D$49)</f>
        <v>0</v>
      </c>
      <c r="F52" s="669"/>
      <c r="G52" s="402">
        <f>IF(ISBLANK(F52), 0, F52/F$49)</f>
        <v>0</v>
      </c>
      <c r="H52" s="668"/>
      <c r="I52" s="320">
        <f>IF(ISBLANK(H52), 0, H52/H$49)</f>
        <v>0</v>
      </c>
      <c r="J52" s="669"/>
      <c r="K52" s="320">
        <f>IF(ISBLANK(J52), 0, J52/J$49)</f>
        <v>0</v>
      </c>
      <c r="L52" s="669"/>
      <c r="M52" s="405">
        <f>IF(ISBLANK(L52), 0, L52/L$49)</f>
        <v>0</v>
      </c>
      <c r="N52" s="669"/>
      <c r="O52" s="320">
        <f>IF(ISBLANK(N52), 0, N52/N$49)</f>
        <v>0</v>
      </c>
      <c r="P52" s="669"/>
      <c r="Q52" s="320">
        <f>IF(ISBLANK(P52), 0, P52/P$49)</f>
        <v>0</v>
      </c>
      <c r="R52" s="669"/>
      <c r="S52" s="405">
        <f>IF(ISBLANK(R52), 0, R52/$R$49)</f>
        <v>0</v>
      </c>
    </row>
    <row r="53" spans="1:19" ht="15.75" thickBot="1" x14ac:dyDescent="0.3">
      <c r="A53" s="443" t="s">
        <v>377</v>
      </c>
      <c r="B53" s="543"/>
      <c r="C53" s="320">
        <f>IF(ISBLANK(B53), 0, B53/$B$49)</f>
        <v>0</v>
      </c>
      <c r="D53" s="543"/>
      <c r="E53" s="320">
        <f>IF(ISBLANK(D53), 0, D53/D$49)</f>
        <v>0</v>
      </c>
      <c r="F53" s="543"/>
      <c r="G53" s="402">
        <f>IF(ISBLANK(F53), 0, F53/F$49)</f>
        <v>0</v>
      </c>
      <c r="H53" s="544"/>
      <c r="I53" s="320">
        <f>IF(ISBLANK(H53), 0, H53/H$49)</f>
        <v>0</v>
      </c>
      <c r="J53" s="543"/>
      <c r="K53" s="320">
        <f>IF(ISBLANK(J53), 0, J53/J$49)</f>
        <v>0</v>
      </c>
      <c r="L53" s="543"/>
      <c r="M53" s="405">
        <f>IF(ISBLANK(L53), 0, L53/L$49)</f>
        <v>0</v>
      </c>
      <c r="N53" s="543"/>
      <c r="O53" s="320">
        <f>IF(ISBLANK(N53), 0, N53/N$49)</f>
        <v>0</v>
      </c>
      <c r="P53" s="543"/>
      <c r="Q53" s="320">
        <f>IF(ISBLANK(P53), 0, P53/P$49)</f>
        <v>0</v>
      </c>
      <c r="R53" s="543"/>
      <c r="S53" s="405">
        <f>IF(ISBLANK(R53), 0, R53/$R$49)</f>
        <v>0</v>
      </c>
    </row>
    <row r="54" spans="1:19" ht="15.75" thickBot="1" x14ac:dyDescent="0.3">
      <c r="A54" s="645" t="s">
        <v>380</v>
      </c>
      <c r="B54" s="887">
        <f>SUM(B55:B58)</f>
        <v>0</v>
      </c>
      <c r="C54" s="322">
        <f>IF(B54=0, 0, B54/$B$39)</f>
        <v>0</v>
      </c>
      <c r="D54" s="887">
        <f>SUM(D55:D58)</f>
        <v>0</v>
      </c>
      <c r="E54" s="322">
        <f>IF(D54=0, 0, D54/D$39)</f>
        <v>0</v>
      </c>
      <c r="F54" s="887">
        <f>SUM(F55:F58)</f>
        <v>0</v>
      </c>
      <c r="G54" s="403">
        <f>IF(F54=0, 0, F54/F$39)</f>
        <v>0</v>
      </c>
      <c r="H54" s="886">
        <f>SUM(H55:H58)</f>
        <v>0</v>
      </c>
      <c r="I54" s="322">
        <f>IF(H54=0, 0, H54/H$39)</f>
        <v>0</v>
      </c>
      <c r="J54" s="887">
        <f>SUM(J55:J58)</f>
        <v>0</v>
      </c>
      <c r="K54" s="322">
        <f>IF(J54=0, 0, J54/J$39)</f>
        <v>0</v>
      </c>
      <c r="L54" s="887">
        <f>SUM(L55:L58)</f>
        <v>0</v>
      </c>
      <c r="M54" s="406">
        <f>IF(L54=0, 0, L54/L$39)</f>
        <v>0</v>
      </c>
      <c r="N54" s="887">
        <f>SUM(N55:N58)</f>
        <v>0</v>
      </c>
      <c r="O54" s="322">
        <f>IF(N54=0, 0, N54/N$39)</f>
        <v>0</v>
      </c>
      <c r="P54" s="887">
        <f>SUM(P55:P58)</f>
        <v>0</v>
      </c>
      <c r="Q54" s="322">
        <f>IF(P54=0, 0, P54/P$39)</f>
        <v>0</v>
      </c>
      <c r="R54" s="887">
        <f>SUM(R55:R58)</f>
        <v>0</v>
      </c>
      <c r="S54" s="406">
        <f>IF(R54=0, 0, R54/$R$39)</f>
        <v>0</v>
      </c>
    </row>
    <row r="55" spans="1:19" x14ac:dyDescent="0.25">
      <c r="A55" s="442" t="s">
        <v>374</v>
      </c>
      <c r="B55" s="545"/>
      <c r="C55" s="320">
        <f>IF(ISBLANK(B55), 0, B55/$B$54)</f>
        <v>0</v>
      </c>
      <c r="D55" s="545"/>
      <c r="E55" s="320">
        <f>IF(ISBLANK(D55), 0, D55/D$54)</f>
        <v>0</v>
      </c>
      <c r="F55" s="545"/>
      <c r="G55" s="402">
        <f>IF(ISBLANK(F55), 0, F55/F$54)</f>
        <v>0</v>
      </c>
      <c r="H55" s="546"/>
      <c r="I55" s="320">
        <f>IF(ISBLANK(H55), 0, H55/H$54)</f>
        <v>0</v>
      </c>
      <c r="J55" s="545"/>
      <c r="K55" s="320">
        <f>IF(ISBLANK(J55), 0, J55/J$54)</f>
        <v>0</v>
      </c>
      <c r="L55" s="545"/>
      <c r="M55" s="405">
        <f>IF(ISBLANK(L55), 0, L55/L$54)</f>
        <v>0</v>
      </c>
      <c r="N55" s="545"/>
      <c r="O55" s="320">
        <f>IF(ISBLANK(N55), 0, N55/N$54)</f>
        <v>0</v>
      </c>
      <c r="P55" s="545"/>
      <c r="Q55" s="320">
        <f>IF(ISBLANK(P55), 0, P55/P$54)</f>
        <v>0</v>
      </c>
      <c r="R55" s="545"/>
      <c r="S55" s="405">
        <f>IF(ISBLANK(R55), 0, R55/$R$54)</f>
        <v>0</v>
      </c>
    </row>
    <row r="56" spans="1:19" x14ac:dyDescent="0.25">
      <c r="A56" s="442" t="s">
        <v>375</v>
      </c>
      <c r="B56" s="669"/>
      <c r="C56" s="320">
        <f>IF(ISBLANK(B56), 0, B56/$B$54)</f>
        <v>0</v>
      </c>
      <c r="D56" s="669"/>
      <c r="E56" s="320">
        <f>IF(ISBLANK(D56), 0, D56/D$54)</f>
        <v>0</v>
      </c>
      <c r="F56" s="669"/>
      <c r="G56" s="402">
        <f>IF(ISBLANK(F56), 0, F56/F$54)</f>
        <v>0</v>
      </c>
      <c r="H56" s="668"/>
      <c r="I56" s="320">
        <f>IF(ISBLANK(H56), 0, H56/H$54)</f>
        <v>0</v>
      </c>
      <c r="J56" s="669"/>
      <c r="K56" s="320">
        <f>IF(ISBLANK(J56), 0, J56/J$54)</f>
        <v>0</v>
      </c>
      <c r="L56" s="669"/>
      <c r="M56" s="405">
        <f>IF(ISBLANK(L56), 0, L56/L$54)</f>
        <v>0</v>
      </c>
      <c r="N56" s="669"/>
      <c r="O56" s="320">
        <f>IF(ISBLANK(N56), 0, N56/N$54)</f>
        <v>0</v>
      </c>
      <c r="P56" s="669"/>
      <c r="Q56" s="320">
        <f>IF(ISBLANK(P56), 0, P56/P$54)</f>
        <v>0</v>
      </c>
      <c r="R56" s="669"/>
      <c r="S56" s="405">
        <f>IF(ISBLANK(R56), 0, R56/$R$54)</f>
        <v>0</v>
      </c>
    </row>
    <row r="57" spans="1:19" x14ac:dyDescent="0.25">
      <c r="A57" s="442" t="s">
        <v>376</v>
      </c>
      <c r="B57" s="669"/>
      <c r="C57" s="320">
        <f>IF(ISBLANK(B57), 0, B57/$B$54)</f>
        <v>0</v>
      </c>
      <c r="D57" s="669"/>
      <c r="E57" s="320">
        <f>IF(ISBLANK(D57), 0, D57/D$54)</f>
        <v>0</v>
      </c>
      <c r="F57" s="669"/>
      <c r="G57" s="402">
        <f>IF(ISBLANK(F57), 0, F57/F$54)</f>
        <v>0</v>
      </c>
      <c r="H57" s="668"/>
      <c r="I57" s="320">
        <f>IF(ISBLANK(H57), 0, H57/H$54)</f>
        <v>0</v>
      </c>
      <c r="J57" s="669"/>
      <c r="K57" s="320">
        <f>IF(ISBLANK(J57), 0, J57/J$54)</f>
        <v>0</v>
      </c>
      <c r="L57" s="669"/>
      <c r="M57" s="405">
        <f>IF(ISBLANK(L57), 0, L57/L$54)</f>
        <v>0</v>
      </c>
      <c r="N57" s="669"/>
      <c r="O57" s="320">
        <f>IF(ISBLANK(N57), 0, N57/N$54)</f>
        <v>0</v>
      </c>
      <c r="P57" s="669"/>
      <c r="Q57" s="320">
        <f>IF(ISBLANK(P57), 0, P57/P$54)</f>
        <v>0</v>
      </c>
      <c r="R57" s="669"/>
      <c r="S57" s="405">
        <f>IF(ISBLANK(R57), 0, R57/$R$54)</f>
        <v>0</v>
      </c>
    </row>
    <row r="58" spans="1:19" ht="15.75" thickBot="1" x14ac:dyDescent="0.3">
      <c r="A58" s="443" t="s">
        <v>377</v>
      </c>
      <c r="B58" s="543"/>
      <c r="C58" s="320">
        <f>IF(ISBLANK(B58), 0, B58/$B$54)</f>
        <v>0</v>
      </c>
      <c r="D58" s="543"/>
      <c r="E58" s="320">
        <f>IF(ISBLANK(D58), 0, D58/D$54)</f>
        <v>0</v>
      </c>
      <c r="F58" s="543"/>
      <c r="G58" s="402">
        <f>IF(ISBLANK(F58), 0, F58/F$54)</f>
        <v>0</v>
      </c>
      <c r="H58" s="544"/>
      <c r="I58" s="320">
        <f>IF(ISBLANK(H58), 0, H58/H$54)</f>
        <v>0</v>
      </c>
      <c r="J58" s="543"/>
      <c r="K58" s="320">
        <f>IF(ISBLANK(J58), 0, J58/J$54)</f>
        <v>0</v>
      </c>
      <c r="L58" s="543"/>
      <c r="M58" s="405">
        <f>IF(ISBLANK(L58), 0, L58/L$54)</f>
        <v>0</v>
      </c>
      <c r="N58" s="543"/>
      <c r="O58" s="320">
        <f>IF(ISBLANK(N58), 0, N58/N$54)</f>
        <v>0</v>
      </c>
      <c r="P58" s="543"/>
      <c r="Q58" s="320">
        <f>IF(ISBLANK(P58), 0, P58/P$54)</f>
        <v>0</v>
      </c>
      <c r="R58" s="543"/>
      <c r="S58" s="405">
        <f>IF(ISBLANK(R58), 0, R58/$R$54)</f>
        <v>0</v>
      </c>
    </row>
    <row r="59" spans="1:19" ht="15.75" thickBot="1" x14ac:dyDescent="0.3">
      <c r="A59" s="645" t="s">
        <v>381</v>
      </c>
      <c r="B59" s="887">
        <f>SUM(B60:B63)</f>
        <v>0</v>
      </c>
      <c r="C59" s="322">
        <f>IF(B59=0, 0, B59/$B$39)</f>
        <v>0</v>
      </c>
      <c r="D59" s="887">
        <f>SUM(D60:D63)</f>
        <v>0</v>
      </c>
      <c r="E59" s="322">
        <f>IF(D59=0, 0, D59/D$39)</f>
        <v>0</v>
      </c>
      <c r="F59" s="887">
        <f>SUM(F60:F63)</f>
        <v>0</v>
      </c>
      <c r="G59" s="403">
        <f>IF(F59=0, 0, F59/F$39)</f>
        <v>0</v>
      </c>
      <c r="H59" s="886">
        <f>SUM(H60:H63)</f>
        <v>0</v>
      </c>
      <c r="I59" s="322">
        <f>IF(H59=0, 0, H59/H$39)</f>
        <v>0</v>
      </c>
      <c r="J59" s="887">
        <f>SUM(J60:J63)</f>
        <v>0</v>
      </c>
      <c r="K59" s="322">
        <f>IF(J59=0, 0, J59/J$39)</f>
        <v>0</v>
      </c>
      <c r="L59" s="887">
        <f>SUM(L60:L63)</f>
        <v>0</v>
      </c>
      <c r="M59" s="406">
        <f>IF(L59=0, 0, L59/L$39)</f>
        <v>0</v>
      </c>
      <c r="N59" s="887">
        <f>SUM(N60:N63)</f>
        <v>0</v>
      </c>
      <c r="O59" s="322">
        <f>IF(N59=0, 0, N59/N$39)</f>
        <v>0</v>
      </c>
      <c r="P59" s="887">
        <f>SUM(P60:P63)</f>
        <v>0</v>
      </c>
      <c r="Q59" s="322">
        <f>IF(P59=0, 0, P59/P$39)</f>
        <v>0</v>
      </c>
      <c r="R59" s="887">
        <f>SUM(R60:R63)</f>
        <v>0</v>
      </c>
      <c r="S59" s="406">
        <f>IF(R59=0, 0, R59/$R$39)</f>
        <v>0</v>
      </c>
    </row>
    <row r="60" spans="1:19" x14ac:dyDescent="0.25">
      <c r="A60" s="442" t="s">
        <v>374</v>
      </c>
      <c r="B60" s="545"/>
      <c r="C60" s="320">
        <f>IF(ISBLANK(B60), 0, B60/$B$59)</f>
        <v>0</v>
      </c>
      <c r="D60" s="545"/>
      <c r="E60" s="320">
        <f>IF(ISBLANK(D60), 0, D60/D$59)</f>
        <v>0</v>
      </c>
      <c r="F60" s="545"/>
      <c r="G60" s="402">
        <f>IF(ISBLANK(F60), 0, F60/F$59)</f>
        <v>0</v>
      </c>
      <c r="H60" s="546"/>
      <c r="I60" s="320">
        <f>IF(ISBLANK(H60), 0, H60/H$59)</f>
        <v>0</v>
      </c>
      <c r="J60" s="545"/>
      <c r="K60" s="320">
        <f>IF(ISBLANK(J60), 0, J60/J$59)</f>
        <v>0</v>
      </c>
      <c r="L60" s="545"/>
      <c r="M60" s="405">
        <f>IF(ISBLANK(L60), 0, L60/L$59)</f>
        <v>0</v>
      </c>
      <c r="N60" s="545"/>
      <c r="O60" s="320">
        <f>IF(ISBLANK(N60), 0, N60/N$59)</f>
        <v>0</v>
      </c>
      <c r="P60" s="545"/>
      <c r="Q60" s="320">
        <f>IF(ISBLANK(P60), 0, P60/P$59)</f>
        <v>0</v>
      </c>
      <c r="R60" s="545"/>
      <c r="S60" s="405">
        <f>IF(ISBLANK(R60), 0, R60/$R$59)</f>
        <v>0</v>
      </c>
    </row>
    <row r="61" spans="1:19" x14ac:dyDescent="0.25">
      <c r="A61" s="442" t="s">
        <v>375</v>
      </c>
      <c r="B61" s="669"/>
      <c r="C61" s="320">
        <f>IF(ISBLANK(B61), 0, B61/$B$59)</f>
        <v>0</v>
      </c>
      <c r="D61" s="669"/>
      <c r="E61" s="320">
        <f>IF(ISBLANK(D61), 0, D61/D$59)</f>
        <v>0</v>
      </c>
      <c r="F61" s="669"/>
      <c r="G61" s="402">
        <f>IF(ISBLANK(F61), 0, F61/F$59)</f>
        <v>0</v>
      </c>
      <c r="H61" s="668"/>
      <c r="I61" s="320">
        <f>IF(ISBLANK(H61), 0, H61/H$59)</f>
        <v>0</v>
      </c>
      <c r="J61" s="669"/>
      <c r="K61" s="320">
        <f>IF(ISBLANK(J61), 0, J61/J$59)</f>
        <v>0</v>
      </c>
      <c r="L61" s="669"/>
      <c r="M61" s="405">
        <f>IF(ISBLANK(L61), 0, L61/L$59)</f>
        <v>0</v>
      </c>
      <c r="N61" s="669"/>
      <c r="O61" s="320">
        <f>IF(ISBLANK(N61), 0, N61/N$59)</f>
        <v>0</v>
      </c>
      <c r="P61" s="669"/>
      <c r="Q61" s="320">
        <f>IF(ISBLANK(P61), 0, P61/P$59)</f>
        <v>0</v>
      </c>
      <c r="R61" s="669"/>
      <c r="S61" s="405">
        <f>IF(ISBLANK(R61), 0, R61/$R$59)</f>
        <v>0</v>
      </c>
    </row>
    <row r="62" spans="1:19" x14ac:dyDescent="0.25">
      <c r="A62" s="442" t="s">
        <v>376</v>
      </c>
      <c r="B62" s="669"/>
      <c r="C62" s="320">
        <f>IF(ISBLANK(B62), 0, B62/$B$59)</f>
        <v>0</v>
      </c>
      <c r="D62" s="669"/>
      <c r="E62" s="320">
        <f>IF(ISBLANK(D62), 0, D62/D$59)</f>
        <v>0</v>
      </c>
      <c r="F62" s="669"/>
      <c r="G62" s="402">
        <f>IF(ISBLANK(F62), 0, F62/F$59)</f>
        <v>0</v>
      </c>
      <c r="H62" s="668"/>
      <c r="I62" s="320">
        <f>IF(ISBLANK(H62), 0, H62/H$59)</f>
        <v>0</v>
      </c>
      <c r="J62" s="669"/>
      <c r="K62" s="320">
        <f>IF(ISBLANK(J62), 0, J62/J$59)</f>
        <v>0</v>
      </c>
      <c r="L62" s="669"/>
      <c r="M62" s="405">
        <f>IF(ISBLANK(L62), 0, L62/L$59)</f>
        <v>0</v>
      </c>
      <c r="N62" s="669"/>
      <c r="O62" s="320">
        <f>IF(ISBLANK(N62), 0, N62/N$59)</f>
        <v>0</v>
      </c>
      <c r="P62" s="669"/>
      <c r="Q62" s="320">
        <f>IF(ISBLANK(P62), 0, P62/P$59)</f>
        <v>0</v>
      </c>
      <c r="R62" s="669"/>
      <c r="S62" s="405">
        <f>IF(ISBLANK(R62), 0, R62/$R$59)</f>
        <v>0</v>
      </c>
    </row>
    <row r="63" spans="1:19" ht="15.75" thickBot="1" x14ac:dyDescent="0.3">
      <c r="A63" s="443" t="s">
        <v>377</v>
      </c>
      <c r="B63" s="543"/>
      <c r="C63" s="320">
        <f>IF(ISBLANK(B63), 0, B63/$B$59)</f>
        <v>0</v>
      </c>
      <c r="D63" s="543"/>
      <c r="E63" s="320">
        <f>IF(ISBLANK(D63), 0, D63/D$59)</f>
        <v>0</v>
      </c>
      <c r="F63" s="543"/>
      <c r="G63" s="402">
        <f>IF(ISBLANK(F63), 0, F63/F$59)</f>
        <v>0</v>
      </c>
      <c r="H63" s="544"/>
      <c r="I63" s="320">
        <f>IF(ISBLANK(H63), 0, H63/H$59)</f>
        <v>0</v>
      </c>
      <c r="J63" s="543"/>
      <c r="K63" s="320">
        <f>IF(ISBLANK(J63), 0, J63/J$59)</f>
        <v>0</v>
      </c>
      <c r="L63" s="543"/>
      <c r="M63" s="405">
        <f>IF(ISBLANK(L63), 0, L63/L$59)</f>
        <v>0</v>
      </c>
      <c r="N63" s="543"/>
      <c r="O63" s="320">
        <f>IF(ISBLANK(N63), 0, N63/N$59)</f>
        <v>0</v>
      </c>
      <c r="P63" s="543"/>
      <c r="Q63" s="320">
        <f>IF(ISBLANK(P63), 0, P63/P$59)</f>
        <v>0</v>
      </c>
      <c r="R63" s="543"/>
      <c r="S63" s="405">
        <f>IF(ISBLANK(R63), 0, R63/$R$59)</f>
        <v>0</v>
      </c>
    </row>
    <row r="64" spans="1:19" ht="15.75" thickBot="1" x14ac:dyDescent="0.3">
      <c r="A64" s="645" t="s">
        <v>382</v>
      </c>
      <c r="B64" s="887">
        <f>SUM(B65:B68)</f>
        <v>0</v>
      </c>
      <c r="C64" s="322">
        <f>IF(B64=0, 0, B64/$B$39)</f>
        <v>0</v>
      </c>
      <c r="D64" s="887">
        <f>SUM(D65:D68)</f>
        <v>0</v>
      </c>
      <c r="E64" s="322">
        <f>IF(D64=0, 0, D64/D39)</f>
        <v>0</v>
      </c>
      <c r="F64" s="887">
        <f>SUM(F65:F68)</f>
        <v>0</v>
      </c>
      <c r="G64" s="403">
        <f>IF(F64=0, 0, F64/F39)</f>
        <v>0</v>
      </c>
      <c r="H64" s="886">
        <f>SUM(H65:H68)</f>
        <v>0</v>
      </c>
      <c r="I64" s="322">
        <f>IF(H64=0, 0, H64/H$39)</f>
        <v>0</v>
      </c>
      <c r="J64" s="887">
        <f>SUM(J65:J68)</f>
        <v>0</v>
      </c>
      <c r="K64" s="322">
        <f>IF(J64=0, 0, J64/J39)</f>
        <v>0</v>
      </c>
      <c r="L64" s="887">
        <f>SUM(L65:L68)</f>
        <v>0</v>
      </c>
      <c r="M64" s="406">
        <f>IF(L64=0, 0, L64/L39)</f>
        <v>0</v>
      </c>
      <c r="N64" s="887">
        <f>SUM(N65:N68)</f>
        <v>0</v>
      </c>
      <c r="O64" s="322">
        <f>IF(N64=0, 0, N64/N39)</f>
        <v>0</v>
      </c>
      <c r="P64" s="887">
        <f>SUM(P65:P68)</f>
        <v>0</v>
      </c>
      <c r="Q64" s="322">
        <f>IF(P64=0, 0, P64/P39)</f>
        <v>0</v>
      </c>
      <c r="R64" s="887">
        <f>SUM(R65:R68)</f>
        <v>0</v>
      </c>
      <c r="S64" s="406">
        <f>IF(R64=0, 0, R64/R39)</f>
        <v>0</v>
      </c>
    </row>
    <row r="65" spans="1:19" x14ac:dyDescent="0.25">
      <c r="A65" s="464" t="s">
        <v>374</v>
      </c>
      <c r="B65" s="545"/>
      <c r="C65" s="479">
        <f>IF(ISBLANK(B65), 0, B65/$B$64)</f>
        <v>0</v>
      </c>
      <c r="D65" s="545"/>
      <c r="E65" s="479">
        <f>IF(ISBLANK(D65), 0, D65/$D$64)</f>
        <v>0</v>
      </c>
      <c r="F65" s="545"/>
      <c r="G65" s="911">
        <f>IF(ISBLANK(F65), 0, F65/$F$64)</f>
        <v>0</v>
      </c>
      <c r="H65" s="546"/>
      <c r="I65" s="320">
        <f>IF(ISBLANK(H65), 0, H65/$H$64)</f>
        <v>0</v>
      </c>
      <c r="J65" s="545"/>
      <c r="K65" s="320">
        <f>IF(ISBLANK(J65), 0, J65/$J$64)</f>
        <v>0</v>
      </c>
      <c r="L65" s="545"/>
      <c r="M65" s="405">
        <f>IF(ISBLANK(L65), 0, L65/$L$64)</f>
        <v>0</v>
      </c>
      <c r="N65" s="545"/>
      <c r="O65" s="320">
        <f>IF(ISBLANK(N65), 0, N65/$N$64)</f>
        <v>0</v>
      </c>
      <c r="P65" s="545"/>
      <c r="Q65" s="320">
        <f>IF(ISBLANK(P65), 0, P65/P64)</f>
        <v>0</v>
      </c>
      <c r="R65" s="545"/>
      <c r="S65" s="405">
        <f>IF(ISBLANK(R65), 0, R65/$R$64)</f>
        <v>0</v>
      </c>
    </row>
    <row r="66" spans="1:19" x14ac:dyDescent="0.25">
      <c r="A66" s="442" t="s">
        <v>375</v>
      </c>
      <c r="B66" s="669"/>
      <c r="C66" s="320">
        <f>IF(ISBLANK(B66), 0, B66/$B$64)</f>
        <v>0</v>
      </c>
      <c r="D66" s="669"/>
      <c r="E66" s="323">
        <f>IF(ISBLANK(D66), 0, D66/$D$64)</f>
        <v>0</v>
      </c>
      <c r="F66" s="669"/>
      <c r="G66" s="912">
        <f>IF(ISBLANK(F66), 0, F66/$F$64)</f>
        <v>0</v>
      </c>
      <c r="H66" s="668"/>
      <c r="I66" s="323">
        <f>IF(ISBLANK(H66), 0, H66/$H$64)</f>
        <v>0</v>
      </c>
      <c r="J66" s="669"/>
      <c r="K66" s="323">
        <f>IF(ISBLANK(J66), 0, J66/$J$64)</f>
        <v>0</v>
      </c>
      <c r="L66" s="669"/>
      <c r="M66" s="407">
        <f>IF(ISBLANK(L66), 0, L66/$L$64)</f>
        <v>0</v>
      </c>
      <c r="N66" s="669"/>
      <c r="O66" s="323">
        <f>IF(ISBLANK(N66), 0, N66/$N$64)</f>
        <v>0</v>
      </c>
      <c r="P66" s="669"/>
      <c r="Q66" s="323">
        <f>IF(ISBLANK(P66), 0, P66/$P$64)</f>
        <v>0</v>
      </c>
      <c r="R66" s="669"/>
      <c r="S66" s="407">
        <f>IF(ISBLANK(R66), 0, R66/$R$64)</f>
        <v>0</v>
      </c>
    </row>
    <row r="67" spans="1:19" x14ac:dyDescent="0.25">
      <c r="A67" s="442" t="s">
        <v>376</v>
      </c>
      <c r="B67" s="669"/>
      <c r="C67" s="320">
        <f>IF(ISBLANK(B67), 0, B67/$B$64)</f>
        <v>0</v>
      </c>
      <c r="D67" s="669"/>
      <c r="E67" s="323">
        <f>IF(ISBLANK(D67), 0, D67/$D$64)</f>
        <v>0</v>
      </c>
      <c r="F67" s="669"/>
      <c r="G67" s="912">
        <f>IF(ISBLANK(F67), 0, F67/$F$64)</f>
        <v>0</v>
      </c>
      <c r="H67" s="668"/>
      <c r="I67" s="323">
        <f>IF(ISBLANK(H67), 0, H67/$H$64)</f>
        <v>0</v>
      </c>
      <c r="J67" s="669"/>
      <c r="K67" s="323">
        <f>IF(ISBLANK(J67), 0, J67/$J$64)</f>
        <v>0</v>
      </c>
      <c r="L67" s="669"/>
      <c r="M67" s="407">
        <f>IF(ISBLANK(L67), 0, L67/$L$64)</f>
        <v>0</v>
      </c>
      <c r="N67" s="669"/>
      <c r="O67" s="323">
        <f>IF(ISBLANK(N67), 0, N67/$N$64)</f>
        <v>0</v>
      </c>
      <c r="P67" s="669"/>
      <c r="Q67" s="323">
        <f>IF(ISBLANK(P67), 0, P67/$P$64)</f>
        <v>0</v>
      </c>
      <c r="R67" s="669"/>
      <c r="S67" s="407">
        <f>IF(ISBLANK(R67), 0, R67/$R$64)</f>
        <v>0</v>
      </c>
    </row>
    <row r="68" spans="1:19" ht="15.75" thickBot="1" x14ac:dyDescent="0.3">
      <c r="A68" s="444" t="s">
        <v>377</v>
      </c>
      <c r="B68" s="673"/>
      <c r="C68" s="480">
        <f>IF(ISBLANK(B68), 0, B68/$B$64)</f>
        <v>0</v>
      </c>
      <c r="D68" s="673"/>
      <c r="E68" s="408">
        <f>IF(ISBLANK(D68), 0, D68/$D$64)</f>
        <v>0</v>
      </c>
      <c r="F68" s="673"/>
      <c r="G68" s="913">
        <f>IF(ISBLANK(F68), 0, F68/$F$64)</f>
        <v>0</v>
      </c>
      <c r="H68" s="899"/>
      <c r="I68" s="408">
        <f>IF(ISBLANK(H68), 0, H68/$H$64)</f>
        <v>0</v>
      </c>
      <c r="J68" s="673"/>
      <c r="K68" s="408">
        <f>IF(ISBLANK(J68), 0, J68/$J$64)</f>
        <v>0</v>
      </c>
      <c r="L68" s="673"/>
      <c r="M68" s="409">
        <f>IF(ISBLANK(L68), 0, L68/$L$64)</f>
        <v>0</v>
      </c>
      <c r="N68" s="673"/>
      <c r="O68" s="408">
        <f>IF(ISBLANK(N68), 0, N68/$N$64)</f>
        <v>0</v>
      </c>
      <c r="P68" s="673"/>
      <c r="Q68" s="408">
        <f>IF(ISBLANK(P68), 0, P68/$P$64)</f>
        <v>0</v>
      </c>
      <c r="R68" s="673"/>
      <c r="S68" s="409">
        <f>IF(ISBLANK(R68), 0, R68/$R$64)</f>
        <v>0</v>
      </c>
    </row>
    <row r="69" spans="1:19" ht="41.25" customHeight="1" thickBot="1" x14ac:dyDescent="0.3">
      <c r="A69" s="1290" t="s">
        <v>1242</v>
      </c>
      <c r="B69" s="1291"/>
    </row>
    <row r="70" spans="1:19" ht="30" x14ac:dyDescent="0.25">
      <c r="A70" s="440" t="s">
        <v>383</v>
      </c>
      <c r="B70" s="533"/>
    </row>
    <row r="71" spans="1:19" ht="45" x14ac:dyDescent="0.25">
      <c r="A71" s="440" t="s">
        <v>384</v>
      </c>
      <c r="B71" s="491"/>
    </row>
    <row r="72" spans="1:19" ht="30" x14ac:dyDescent="0.25">
      <c r="A72" s="440" t="s">
        <v>385</v>
      </c>
      <c r="B72" s="491"/>
    </row>
    <row r="73" spans="1:19" ht="30" x14ac:dyDescent="0.25">
      <c r="A73" s="440" t="s">
        <v>386</v>
      </c>
      <c r="B73" s="491"/>
    </row>
    <row r="74" spans="1:19" ht="30" x14ac:dyDescent="0.25">
      <c r="A74" s="440" t="s">
        <v>387</v>
      </c>
      <c r="B74" s="491"/>
    </row>
    <row r="75" spans="1:19" ht="30.75" thickBot="1" x14ac:dyDescent="0.3">
      <c r="A75" s="441" t="s">
        <v>388</v>
      </c>
      <c r="B75" s="492"/>
    </row>
    <row r="77" spans="1:19" ht="21" x14ac:dyDescent="0.35">
      <c r="A77" s="1056" t="s">
        <v>117</v>
      </c>
      <c r="B77" s="1056"/>
    </row>
    <row r="78" spans="1:19" ht="21" x14ac:dyDescent="0.35">
      <c r="A78" s="644"/>
      <c r="B78" s="644"/>
    </row>
    <row r="79" spans="1:19" x14ac:dyDescent="0.25">
      <c r="A79" s="359" t="s">
        <v>1243</v>
      </c>
      <c r="B79" s="446" t="s">
        <v>149</v>
      </c>
      <c r="C79" s="150" t="s">
        <v>34</v>
      </c>
    </row>
    <row r="80" spans="1:19" x14ac:dyDescent="0.25">
      <c r="A80" s="447" t="s">
        <v>364</v>
      </c>
      <c r="B80" s="702">
        <v>5</v>
      </c>
      <c r="C80" s="702">
        <f t="shared" ref="C80:C85" si="0">IF(E11&gt;=0.5, 5, IF(E11&gt;=0.33, 3, IF(E11&gt;0.1499, 1, 0)))</f>
        <v>0</v>
      </c>
    </row>
    <row r="81" spans="1:4" x14ac:dyDescent="0.25">
      <c r="A81" s="447" t="s">
        <v>365</v>
      </c>
      <c r="B81" s="702">
        <v>5</v>
      </c>
      <c r="C81" s="702">
        <f t="shared" si="0"/>
        <v>0</v>
      </c>
    </row>
    <row r="82" spans="1:4" x14ac:dyDescent="0.25">
      <c r="A82" s="447" t="s">
        <v>366</v>
      </c>
      <c r="B82" s="702">
        <v>5</v>
      </c>
      <c r="C82" s="702">
        <f t="shared" si="0"/>
        <v>0</v>
      </c>
    </row>
    <row r="83" spans="1:4" x14ac:dyDescent="0.25">
      <c r="A83" s="447" t="s">
        <v>367</v>
      </c>
      <c r="B83" s="702">
        <v>5</v>
      </c>
      <c r="C83" s="702">
        <f t="shared" si="0"/>
        <v>0</v>
      </c>
    </row>
    <row r="84" spans="1:4" x14ac:dyDescent="0.25">
      <c r="A84" s="447" t="s">
        <v>368</v>
      </c>
      <c r="B84" s="702">
        <v>5</v>
      </c>
      <c r="C84" s="702">
        <f t="shared" si="0"/>
        <v>0</v>
      </c>
    </row>
    <row r="85" spans="1:4" x14ac:dyDescent="0.25">
      <c r="A85" s="447" t="s">
        <v>1270</v>
      </c>
      <c r="B85" s="702">
        <v>5</v>
      </c>
      <c r="C85" s="702">
        <f t="shared" si="0"/>
        <v>0</v>
      </c>
    </row>
    <row r="86" spans="1:4" x14ac:dyDescent="0.25">
      <c r="A86" s="359" t="s">
        <v>1244</v>
      </c>
      <c r="B86" s="446" t="s">
        <v>149</v>
      </c>
      <c r="C86" s="150" t="s">
        <v>34</v>
      </c>
    </row>
    <row r="87" spans="1:4" x14ac:dyDescent="0.25">
      <c r="A87" s="447" t="s">
        <v>364</v>
      </c>
      <c r="B87" s="702">
        <v>5</v>
      </c>
      <c r="C87" s="702">
        <f t="shared" ref="C87:C92" si="1">IF(E18&gt;=0.5, 5, IF(E18&gt;=0.33, 3, IF(E18&gt;0.1499, 1, 0)))</f>
        <v>0</v>
      </c>
    </row>
    <row r="88" spans="1:4" x14ac:dyDescent="0.25">
      <c r="A88" s="447" t="s">
        <v>365</v>
      </c>
      <c r="B88" s="702">
        <v>5</v>
      </c>
      <c r="C88" s="702">
        <f t="shared" si="1"/>
        <v>0</v>
      </c>
    </row>
    <row r="89" spans="1:4" x14ac:dyDescent="0.25">
      <c r="A89" s="447" t="s">
        <v>366</v>
      </c>
      <c r="B89" s="702">
        <v>5</v>
      </c>
      <c r="C89" s="702">
        <f t="shared" si="1"/>
        <v>0</v>
      </c>
    </row>
    <row r="90" spans="1:4" x14ac:dyDescent="0.25">
      <c r="A90" s="447" t="s">
        <v>367</v>
      </c>
      <c r="B90" s="702">
        <v>5</v>
      </c>
      <c r="C90" s="702">
        <f t="shared" si="1"/>
        <v>0</v>
      </c>
    </row>
    <row r="91" spans="1:4" x14ac:dyDescent="0.25">
      <c r="A91" s="447" t="s">
        <v>368</v>
      </c>
      <c r="B91" s="702">
        <v>5</v>
      </c>
      <c r="C91" s="702">
        <f t="shared" si="1"/>
        <v>0</v>
      </c>
    </row>
    <row r="92" spans="1:4" x14ac:dyDescent="0.25">
      <c r="A92" s="447" t="s">
        <v>1270</v>
      </c>
      <c r="B92" s="702">
        <v>5</v>
      </c>
      <c r="C92" s="702">
        <f t="shared" si="1"/>
        <v>0</v>
      </c>
    </row>
    <row r="93" spans="1:4" ht="30" x14ac:dyDescent="0.25">
      <c r="A93" s="359" t="s">
        <v>1238</v>
      </c>
      <c r="B93" s="446" t="s">
        <v>149</v>
      </c>
      <c r="C93" s="150" t="s">
        <v>34</v>
      </c>
    </row>
    <row r="94" spans="1:4" x14ac:dyDescent="0.25">
      <c r="A94" s="447" t="s">
        <v>369</v>
      </c>
      <c r="B94" s="702">
        <v>5</v>
      </c>
      <c r="C94" s="702">
        <f>IF(E25&gt;=0.5, 5, IF(E25&gt;=0.33, 3, IF(E25&gt;14.99, 1, 0)))</f>
        <v>0</v>
      </c>
    </row>
    <row r="95" spans="1:4" x14ac:dyDescent="0.25">
      <c r="A95" s="448" t="s">
        <v>370</v>
      </c>
      <c r="B95" s="196">
        <v>5</v>
      </c>
      <c r="C95" s="196">
        <f>IF(E26&gt;=0.5, 5, IF(E26&gt;=0.33, 3, IF(E26&gt;14.99, 1, 0)))</f>
        <v>0</v>
      </c>
    </row>
    <row r="96" spans="1:4" ht="32.25" customHeight="1" x14ac:dyDescent="0.25">
      <c r="A96" s="1286" t="s">
        <v>1245</v>
      </c>
      <c r="B96" s="1286"/>
      <c r="C96" s="1286"/>
      <c r="D96" s="1286"/>
    </row>
    <row r="97" spans="1:6" x14ac:dyDescent="0.25">
      <c r="A97" s="359" t="s">
        <v>18</v>
      </c>
      <c r="B97" s="446" t="s">
        <v>389</v>
      </c>
      <c r="C97" s="150" t="s">
        <v>149</v>
      </c>
      <c r="D97" s="150" t="s">
        <v>34</v>
      </c>
    </row>
    <row r="98" spans="1:6" ht="30" x14ac:dyDescent="0.25">
      <c r="A98" s="1298">
        <f>B27</f>
        <v>0</v>
      </c>
      <c r="B98" s="449" t="s">
        <v>390</v>
      </c>
      <c r="C98" s="702">
        <v>5</v>
      </c>
      <c r="D98" s="702">
        <f>IF(E29&gt;=0.3, 5, IF(E29&gt;0.1499, 3, IF(E29&gt;0.0499, 1, 0)))</f>
        <v>0</v>
      </c>
    </row>
    <row r="99" spans="1:6" ht="30" x14ac:dyDescent="0.25">
      <c r="A99" s="1298"/>
      <c r="B99" s="449" t="s">
        <v>370</v>
      </c>
      <c r="C99" s="702">
        <v>5</v>
      </c>
      <c r="D99" s="702">
        <f>IF(E30&gt;=0.3, 5, IF(E30&gt;0.1499, 3, IF(E30&gt;0.0499, 1, 0)))</f>
        <v>0</v>
      </c>
    </row>
    <row r="100" spans="1:6" ht="30" x14ac:dyDescent="0.25">
      <c r="A100" s="1298"/>
      <c r="B100" s="449" t="s">
        <v>371</v>
      </c>
      <c r="C100" s="702">
        <v>5</v>
      </c>
      <c r="D100" s="702">
        <f>IF(E31&gt;=0.3, 5, IF(E31&gt;0.1499, 3, IF(E31&gt;0.0499, 1, 0)))</f>
        <v>0</v>
      </c>
    </row>
    <row r="101" spans="1:6" ht="30" x14ac:dyDescent="0.25">
      <c r="A101" s="1298">
        <f>H27</f>
        <v>0</v>
      </c>
      <c r="B101" s="449" t="s">
        <v>390</v>
      </c>
      <c r="C101" s="702">
        <v>5</v>
      </c>
      <c r="D101" s="702">
        <f>IF(K29&gt;=0.3, 5, IF(K29&gt;0.1499, 3, IF(K29&gt;0.0499, 1, 0)))</f>
        <v>0</v>
      </c>
    </row>
    <row r="102" spans="1:6" ht="30" x14ac:dyDescent="0.25">
      <c r="A102" s="1298"/>
      <c r="B102" s="449" t="s">
        <v>370</v>
      </c>
      <c r="C102" s="702">
        <v>5</v>
      </c>
      <c r="D102" s="702">
        <f>IF(K30&gt;=0.3, 5, IF(K30&gt;0.1499, 3, IF(K30&gt;0.0499, 1, 0)))</f>
        <v>0</v>
      </c>
    </row>
    <row r="103" spans="1:6" ht="30" x14ac:dyDescent="0.25">
      <c r="A103" s="1298"/>
      <c r="B103" s="449" t="s">
        <v>371</v>
      </c>
      <c r="C103" s="702">
        <v>5</v>
      </c>
      <c r="D103" s="702">
        <f>IF(K31&gt;=0.3, 5, IF(K31&gt;0.1499, 3, IF(K31&gt;0.0499, 1, 0)))</f>
        <v>0</v>
      </c>
    </row>
    <row r="104" spans="1:6" ht="30" x14ac:dyDescent="0.25">
      <c r="A104" s="1298">
        <f>N27</f>
        <v>0</v>
      </c>
      <c r="B104" s="449" t="s">
        <v>390</v>
      </c>
      <c r="C104" s="702">
        <v>5</v>
      </c>
      <c r="D104" s="702">
        <f>IF(Q29&gt;=0.3, 5, IF(Q29&gt;0.1499, 3, IF(Q29&gt;0.0499, 1, 0)))</f>
        <v>0</v>
      </c>
    </row>
    <row r="105" spans="1:6" ht="30" x14ac:dyDescent="0.25">
      <c r="A105" s="1298"/>
      <c r="B105" s="449" t="s">
        <v>370</v>
      </c>
      <c r="C105" s="702">
        <v>5</v>
      </c>
      <c r="D105" s="702">
        <f>IF(Q30&gt;=0.3, 5, IF(Q30&gt;0.1499, 3, IF(Q30&gt;0.0499, 1, 0)))</f>
        <v>0</v>
      </c>
    </row>
    <row r="106" spans="1:6" ht="30" x14ac:dyDescent="0.25">
      <c r="A106" s="1298"/>
      <c r="B106" s="449" t="s">
        <v>371</v>
      </c>
      <c r="C106" s="702">
        <v>5</v>
      </c>
      <c r="D106" s="702">
        <f>IF(Q31&gt;=0.3, 5, IF(Q31&gt;0.1499, 3, IF(Q31&gt;0.0499, 1, 0)))</f>
        <v>0</v>
      </c>
    </row>
    <row r="107" spans="1:6" ht="30.75" customHeight="1" x14ac:dyDescent="0.25">
      <c r="A107" s="1287" t="s">
        <v>1246</v>
      </c>
      <c r="B107" s="1287"/>
      <c r="C107" s="1287"/>
      <c r="D107" s="1287"/>
      <c r="E107" s="1287"/>
      <c r="F107" s="1287"/>
    </row>
    <row r="108" spans="1:6" ht="30" x14ac:dyDescent="0.25">
      <c r="A108" s="411" t="s">
        <v>18</v>
      </c>
      <c r="B108" s="450" t="s">
        <v>389</v>
      </c>
      <c r="C108" s="411" t="s">
        <v>391</v>
      </c>
      <c r="D108" s="411" t="s">
        <v>392</v>
      </c>
      <c r="E108" s="411" t="s">
        <v>393</v>
      </c>
      <c r="F108" s="411" t="s">
        <v>394</v>
      </c>
    </row>
    <row r="109" spans="1:6" ht="30" x14ac:dyDescent="0.25">
      <c r="A109" s="1298">
        <f>A98</f>
        <v>0</v>
      </c>
      <c r="B109" s="449" t="s">
        <v>390</v>
      </c>
      <c r="C109" s="702">
        <v>5</v>
      </c>
      <c r="D109" s="702">
        <f>IF(C34&gt;=0.3, 5, IF(C34&gt;0.1499, 3, IF(C34&gt;0.0499, 1, 0)))</f>
        <v>0</v>
      </c>
      <c r="E109" s="702">
        <f>IF(E34&gt;=0.3, 5, IF(E34&gt;0.1499, 3, IF(E34&gt;0.0499, 1, 0)))</f>
        <v>0</v>
      </c>
      <c r="F109" s="702">
        <f>IF(G34&gt;=0.3, 5, IF(G34&gt;0.1499, 3, IF(G34&gt;0.0499, 1, 0)))</f>
        <v>0</v>
      </c>
    </row>
    <row r="110" spans="1:6" ht="30" x14ac:dyDescent="0.25">
      <c r="A110" s="1298"/>
      <c r="B110" s="449" t="s">
        <v>370</v>
      </c>
      <c r="C110" s="702">
        <v>5</v>
      </c>
      <c r="D110" s="702">
        <f>IF(C35&gt;=0.3, 5, IF(C35&gt;0.1499, 3, IF(C35&gt;0.0499, 1, 0)))</f>
        <v>0</v>
      </c>
      <c r="E110" s="702">
        <f>IF(E35&gt;=0.3, 5, IF(E35&gt;0.1499, 3, IF(E35&gt;0.0499, 1, 0)))</f>
        <v>0</v>
      </c>
      <c r="F110" s="702">
        <f>IF(G35&gt;=0.3, 5, IF(G35&gt;0.1499, 3, IF(G35&gt;0.0499, 1, 0)))</f>
        <v>0</v>
      </c>
    </row>
    <row r="111" spans="1:6" ht="15.75" thickBot="1" x14ac:dyDescent="0.3">
      <c r="A111" s="1298"/>
      <c r="B111" s="451" t="s">
        <v>372</v>
      </c>
      <c r="C111" s="196">
        <v>5</v>
      </c>
      <c r="D111" s="196">
        <f>IF(C36&gt;=0.3, 5, IF(C36&gt;0.1499, 3, IF(C36&gt;0.0499, 1, 0)))</f>
        <v>0</v>
      </c>
      <c r="E111" s="196">
        <f>IF(E36&gt;=0.3, 5, IF(E36&gt;0.1499, 3, IF(E36&gt;0.0499, 1, 0)))</f>
        <v>0</v>
      </c>
      <c r="F111" s="196">
        <f>IF(G36&gt;=0.3, 5, IF(G36&gt;0.1499, 3, IF(G36&gt;0.0499, 1, 0)))</f>
        <v>0</v>
      </c>
    </row>
    <row r="112" spans="1:6" ht="15.75" thickBot="1" x14ac:dyDescent="0.3">
      <c r="A112" s="1299"/>
      <c r="B112" s="1301" t="s">
        <v>395</v>
      </c>
      <c r="C112" s="1302"/>
      <c r="D112" s="1302"/>
      <c r="E112" s="1302"/>
      <c r="F112" s="133">
        <f>SUM(D109:F111)</f>
        <v>0</v>
      </c>
    </row>
    <row r="113" spans="1:6" ht="30" x14ac:dyDescent="0.25">
      <c r="A113" s="1298">
        <f>A101</f>
        <v>0</v>
      </c>
      <c r="B113" s="449" t="s">
        <v>390</v>
      </c>
      <c r="C113" s="348">
        <v>5</v>
      </c>
      <c r="D113" s="348">
        <f>IF(I34&gt;=0.3, 5, IF(I34&gt;0.1499, 3, IF(I34&gt;0.0499, 1, 0)))</f>
        <v>0</v>
      </c>
      <c r="E113" s="348">
        <f>IF(K34&gt;=0.3, 5, IF(K34&gt;0.1499, 3, IF(K34&gt;0.0499, 1, 0)))</f>
        <v>0</v>
      </c>
      <c r="F113" s="348">
        <f>IF(M34&gt;=0.3, 5, IF(M34&gt;0.1499, 3, IF(M34&gt;0.0499, 1, 0)))</f>
        <v>0</v>
      </c>
    </row>
    <row r="114" spans="1:6" ht="30" x14ac:dyDescent="0.25">
      <c r="A114" s="1298"/>
      <c r="B114" s="449" t="s">
        <v>370</v>
      </c>
      <c r="C114" s="702">
        <v>5</v>
      </c>
      <c r="D114" s="702">
        <f>IF(I35&gt;=0.3, 5, IF(I35&gt;0.1499, 3, IF(I35&gt;0.0499, 1, 0)))</f>
        <v>0</v>
      </c>
      <c r="E114" s="702">
        <f>IF(K35&gt;=0.3, 5, IF(K35&gt;0.1499, 3, IF(K35&gt;0.0499, 1, 0)))</f>
        <v>0</v>
      </c>
      <c r="F114" s="702">
        <f>IF(M35&gt;=0.3, 5, IF(M35&gt;0.1499, 3, IF(M35&gt;0.0499, 1, 0)))</f>
        <v>0</v>
      </c>
    </row>
    <row r="115" spans="1:6" ht="15.75" thickBot="1" x14ac:dyDescent="0.3">
      <c r="A115" s="1298"/>
      <c r="B115" s="451" t="s">
        <v>372</v>
      </c>
      <c r="C115" s="196">
        <v>5</v>
      </c>
      <c r="D115" s="196">
        <f>IF(I36&gt;=0.3, 5, IF(I36&gt;0.1499, 3, IF(I36&gt;0.0499, 1, 0)))</f>
        <v>0</v>
      </c>
      <c r="E115" s="196">
        <f>IF(K36&gt;=0.3, 5, IF(K36&gt;0.1499, 3, IF(K36&gt;0.0499, 1, 0)))</f>
        <v>0</v>
      </c>
      <c r="F115" s="196">
        <f>IF(M36&gt;=0.3, 5, IF(M36&gt;0.1499, 3, IF(M36&gt;0.0499, 1, 0)))</f>
        <v>0</v>
      </c>
    </row>
    <row r="116" spans="1:6" ht="15.75" thickBot="1" x14ac:dyDescent="0.3">
      <c r="A116" s="1299"/>
      <c r="B116" s="1301" t="s">
        <v>395</v>
      </c>
      <c r="C116" s="1302"/>
      <c r="D116" s="1302"/>
      <c r="E116" s="1302"/>
      <c r="F116" s="133">
        <f>SUM(D113:F115)</f>
        <v>0</v>
      </c>
    </row>
    <row r="117" spans="1:6" ht="30" x14ac:dyDescent="0.25">
      <c r="A117" s="1298">
        <f>A104</f>
        <v>0</v>
      </c>
      <c r="B117" s="449" t="s">
        <v>390</v>
      </c>
      <c r="C117" s="348">
        <v>5</v>
      </c>
      <c r="D117" s="348">
        <f>IF(O34&gt;=0.3, 5, IF(O34&gt;0.1499, 3, IF(O34&gt;0.0499, 1, 0)))</f>
        <v>0</v>
      </c>
      <c r="E117" s="348">
        <f>IF(Q34&gt;=0.3, 5, IF(Q34&gt;0.1499, 3, IF(Q34&gt;0.0499, 1, 0)))</f>
        <v>0</v>
      </c>
      <c r="F117" s="348">
        <f>IF(S34&gt;=0.3, 5, IF(S34&gt;0.1499, 3, IF(S34&gt;0.0499, 1, 0)))</f>
        <v>0</v>
      </c>
    </row>
    <row r="118" spans="1:6" ht="30" x14ac:dyDescent="0.25">
      <c r="A118" s="1298"/>
      <c r="B118" s="449" t="s">
        <v>370</v>
      </c>
      <c r="C118" s="702">
        <v>5</v>
      </c>
      <c r="D118" s="702">
        <f>IF(O35&gt;=0.3, 5, IF(O35&gt;0.1499, 3, IF(O35&gt;0.0499, 1, 0)))</f>
        <v>0</v>
      </c>
      <c r="E118" s="702">
        <f>IF(Q35&gt;=0.3, 5, IF(Q35&gt;0.1499, 3, IF(Q35&gt;0.0499, 1, 0)))</f>
        <v>0</v>
      </c>
      <c r="F118" s="702">
        <f>IF(S35&gt;=0.3, 5, IF(S35&gt;0.1499, 3, IF(S35&gt;0.0499, 1, 0)))</f>
        <v>0</v>
      </c>
    </row>
    <row r="119" spans="1:6" ht="15.75" thickBot="1" x14ac:dyDescent="0.3">
      <c r="A119" s="1298"/>
      <c r="B119" s="451" t="s">
        <v>372</v>
      </c>
      <c r="C119" s="196">
        <v>5</v>
      </c>
      <c r="D119" s="196">
        <f>IF(O36&gt;=0.3, 5, IF(O36&gt;0.1499, 3, IF(O36&gt;0.0499, 1, 0)))</f>
        <v>0</v>
      </c>
      <c r="E119" s="196">
        <f>IF(Q36&gt;=0.3, 5, IF(Q36&gt;0.1499, 3, IF(Q36&gt;0.0499, 1, 0)))</f>
        <v>0</v>
      </c>
      <c r="F119" s="196">
        <f>IF(S36&gt;=0.3, 5, IF(S36&gt;0.1499, 3, IF(S36&gt;0.0499, 1, 0)))</f>
        <v>0</v>
      </c>
    </row>
    <row r="120" spans="1:6" x14ac:dyDescent="0.25">
      <c r="A120" s="1300"/>
      <c r="B120" s="1303" t="s">
        <v>395</v>
      </c>
      <c r="C120" s="1304"/>
      <c r="D120" s="1304"/>
      <c r="E120" s="1304"/>
      <c r="F120" s="460">
        <f>SUM(D117:F119)</f>
        <v>0</v>
      </c>
    </row>
    <row r="121" spans="1:6" x14ac:dyDescent="0.25">
      <c r="A121" s="1287" t="s">
        <v>1247</v>
      </c>
      <c r="B121" s="1287"/>
      <c r="C121" s="1287"/>
      <c r="D121" s="1287"/>
      <c r="E121" s="1287"/>
      <c r="F121" s="1287"/>
    </row>
    <row r="122" spans="1:6" s="17" customFormat="1" ht="30" x14ac:dyDescent="0.25">
      <c r="A122" s="461" t="s">
        <v>18</v>
      </c>
      <c r="B122" s="445" t="s">
        <v>389</v>
      </c>
      <c r="C122" s="462" t="s">
        <v>391</v>
      </c>
      <c r="D122" s="868" t="s">
        <v>392</v>
      </c>
      <c r="E122" s="411" t="s">
        <v>393</v>
      </c>
      <c r="F122" s="869" t="s">
        <v>394</v>
      </c>
    </row>
    <row r="123" spans="1:6" x14ac:dyDescent="0.25">
      <c r="A123" s="1243">
        <f>B27</f>
        <v>0</v>
      </c>
      <c r="B123" s="597" t="s">
        <v>373</v>
      </c>
      <c r="C123" s="33">
        <v>10</v>
      </c>
      <c r="D123" s="353">
        <f>IF(SUM(C42:C43)&gt;=0.6999, 10, IF(SUM(C42:C43)&gt;0.3999, 6, IF(SUM(C42:C43)&gt;0.1999, 1, 0)))</f>
        <v>0</v>
      </c>
      <c r="E123" s="353">
        <f>IF(SUM(E42:E43)&gt;=0.6999, 10, IF(SUM(E42:E43)&gt;0.3999, 6, IF(SUM(E42:E43)&gt;0.1999, 1, 0)))</f>
        <v>0</v>
      </c>
      <c r="F123" s="119">
        <f>IF(SUM(G42:G43)&gt;=0.6999, 10, IF(SUM(G42:G43)&gt;0.3999, 6, IF(SUM(G42:G43)&gt;0.1999, 1, 0)))</f>
        <v>0</v>
      </c>
    </row>
    <row r="124" spans="1:6" x14ac:dyDescent="0.25">
      <c r="A124" s="1245"/>
      <c r="B124" s="597" t="s">
        <v>396</v>
      </c>
      <c r="C124" s="33">
        <v>10</v>
      </c>
      <c r="D124" s="33">
        <f>IF(SUM(C47:C48)&gt;=0.6999, 10, IF(SUM(C47:C48)&gt;0.3999, 6, IF(SUM(C47:C48)&gt;0.1999, 1, 0)))</f>
        <v>0</v>
      </c>
      <c r="E124" s="33">
        <f>IF(SUM(E47:E48)&gt;=0.6999, 10, IF(SUM(E47:E48)&gt;0.3999, 6, IF(SUM(E47:E48)&gt;0.1999, 1, 0)))</f>
        <v>0</v>
      </c>
      <c r="F124" s="702">
        <f>IF(SUM(G47:G48)&gt;=0.6999, 10, IF(SUM(G47:G48)&gt;0.3999, 6, IF(SUM(G47:G48)&gt;0.1999, 1, 0)))</f>
        <v>0</v>
      </c>
    </row>
    <row r="125" spans="1:6" ht="30" x14ac:dyDescent="0.25">
      <c r="A125" s="1245"/>
      <c r="B125" s="597" t="s">
        <v>397</v>
      </c>
      <c r="C125" s="33">
        <v>10</v>
      </c>
      <c r="D125" s="33">
        <f>IF(SUM(C52:C53)&gt;=0.5, 10, IF(SUM(C52:C53)&gt;0.2999, 6, IF(SUM(C52:C53)&gt;0.0999, 1, 0)))</f>
        <v>0</v>
      </c>
      <c r="E125" s="33">
        <f>IF(SUM(E52:E53)&gt;=0.5, 10, IF(SUM(E52:E53)&gt;0.2999, 6, IF(SUM(E52:E53)&gt;0.0999, 1, 0)))</f>
        <v>0</v>
      </c>
      <c r="F125" s="702">
        <f>IF(SUM(G52:G53)&gt;=0.5, 10, IF(SUM(G52:G53)&gt;0.2999, 6, IF(SUM(G52:G53)&gt;0.0999, 1, 0)))</f>
        <v>0</v>
      </c>
    </row>
    <row r="126" spans="1:6" ht="30" x14ac:dyDescent="0.25">
      <c r="A126" s="1245"/>
      <c r="B126" s="597" t="s">
        <v>398</v>
      </c>
      <c r="C126" s="33">
        <v>10</v>
      </c>
      <c r="D126" s="33">
        <f>IF(SUM(C57:C58)&gt;=0.6999, 10, IF(SUM(C57:C58)&gt;0.3999, 6, IF(SUM(C57:C58)&gt;0.1999, 1, 0)))</f>
        <v>0</v>
      </c>
      <c r="E126" s="33">
        <f>IF(SUM(E57:E58)&gt;=0.6999, 10, IF(SUM(E57:E58)&gt;0.3999, 6, IF(SUM(E57:E58)&gt;0.1999, 1, 0)))</f>
        <v>0</v>
      </c>
      <c r="F126" s="702">
        <f>IF(SUM(G57:G58)&gt;=0.6999, 10, IF(SUM(G57:G58)&gt;0.3999, 6, IF(SUM(G57:G58)&gt;0.1999, 1, 0)))</f>
        <v>0</v>
      </c>
    </row>
    <row r="127" spans="1:6" x14ac:dyDescent="0.25">
      <c r="A127" s="1245"/>
      <c r="B127" s="597" t="s">
        <v>399</v>
      </c>
      <c r="C127" s="33">
        <v>5</v>
      </c>
      <c r="D127" s="33">
        <f>IF(SUM(C62:C63)&gt;0.7999, 5, IF(SUM(C62:C63)&gt;0.4999, 3, IF(SUM(C62:C63)&gt;0.2999, 1, 0)))</f>
        <v>0</v>
      </c>
      <c r="E127" s="33">
        <f>IF(SUM(E62:E63)&gt;0.7999, 5, IF(SUM(E62:E63)&gt;0.4999, 3, IF(SUM(E62:E63)&gt;0.2999, 1, 0)))</f>
        <v>0</v>
      </c>
      <c r="F127" s="702">
        <f>IF(SUM(G62:G63)&gt;0.7999, 5, IF(SUM(G62:G63)&gt;0.4999, 3, IF(SUM(G62:G63)&gt;0.2999, 1, 0)))</f>
        <v>0</v>
      </c>
    </row>
    <row r="128" spans="1:6" ht="15.75" thickBot="1" x14ac:dyDescent="0.3">
      <c r="A128" s="1245"/>
      <c r="B128" s="598" t="s">
        <v>400</v>
      </c>
      <c r="C128" s="355">
        <v>5</v>
      </c>
      <c r="D128" s="355">
        <f>IF(SUM(C67:C68)&gt;0.7999, 5, IF(SUM(C67:C68)&gt;0.4999, 3, IF(SUM(C67:C68)&gt;0.2999, 1, 0)))</f>
        <v>0</v>
      </c>
      <c r="E128" s="355">
        <f>IF(SUM(E67:E68)&gt;0.7999, 5, IF(SUM(E67:E68)&gt;0.4999, 3, IF(SUM(E67:E68)&gt;0.2999, 1, 0)))</f>
        <v>0</v>
      </c>
      <c r="F128" s="196">
        <f>IF(SUM(G67:G68)&gt;0.7999, 5, IF(SUM(G67:G68)&gt;0.4999, 3, IF(SUM(G67:G68)&gt;0.2999, 1, 0)))</f>
        <v>0</v>
      </c>
    </row>
    <row r="129" spans="1:6" ht="15.75" thickBot="1" x14ac:dyDescent="0.3">
      <c r="A129" s="1245"/>
      <c r="B129" s="1247" t="s">
        <v>395</v>
      </c>
      <c r="C129" s="1248"/>
      <c r="D129" s="1248"/>
      <c r="E129" s="1248"/>
      <c r="F129" s="170">
        <f>SUM(D123:F128)</f>
        <v>0</v>
      </c>
    </row>
    <row r="130" spans="1:6" x14ac:dyDescent="0.25">
      <c r="A130" s="1243">
        <f>H27</f>
        <v>0</v>
      </c>
      <c r="B130" s="599" t="s">
        <v>373</v>
      </c>
      <c r="C130" s="452">
        <v>10</v>
      </c>
      <c r="D130" s="452">
        <f>IF(SUM(I42:I43)&gt;=0.6999, 10, IF(SUM(I42:I43)&gt;0.3999, 6, IF(SUM(I42:I43)&gt;0.1999, 1, 0)))</f>
        <v>0</v>
      </c>
      <c r="E130" s="452">
        <f>IF(SUM(K42:K43)&gt;=0.6999, 10, IF(SUM(K42:K43)&gt;0.3999, 6, IF(SUM(K42:K43)&gt;0.1999, 1, 0)))</f>
        <v>0</v>
      </c>
      <c r="F130" s="348">
        <f>IF(SUM(M42:M43)&gt;=0.6999, 10, IF(SUM(M42:M43)&gt;0.3999, 6, IF(SUM(M42:M43)&gt;0.1999, 1, 0)))</f>
        <v>0</v>
      </c>
    </row>
    <row r="131" spans="1:6" x14ac:dyDescent="0.25">
      <c r="A131" s="1244"/>
      <c r="B131" s="597" t="s">
        <v>396</v>
      </c>
      <c r="C131" s="33">
        <v>10</v>
      </c>
      <c r="D131" s="33">
        <f>IF(SUM(I47:I48)&gt;=0.6999, 10, IF(SUM(I47:I48)&gt;0.3999, 6, IF(SUM(I47:I48)&gt;0.1999, 1, 0)))</f>
        <v>0</v>
      </c>
      <c r="E131" s="33">
        <f>IF(SUM(K47:K48)&gt;=0.6999, 10, IF(SUM(K47:K48)&gt;0.3999, 6, IF(SUM(K47:K48)&gt;0.1999, 1, 0)))</f>
        <v>0</v>
      </c>
      <c r="F131" s="702">
        <f>IF(SUM(M47:M48)&gt;=0.6999, 10, IF(SUM(M47:M48)&gt;0.3999, 6, IF(SUM(M47:M48)&gt;0.1999, 1, 0)))</f>
        <v>0</v>
      </c>
    </row>
    <row r="132" spans="1:6" ht="30" x14ac:dyDescent="0.25">
      <c r="A132" s="1244"/>
      <c r="B132" s="597" t="s">
        <v>397</v>
      </c>
      <c r="C132" s="33">
        <v>10</v>
      </c>
      <c r="D132" s="33">
        <f>IF(SUM(I52:I53)&gt;=0.5, 10, IF(SUM(I52:I53)&gt;0.2999, 6, IF(SUM(I52:I53)&gt;0.0999, 1, 0)))</f>
        <v>0</v>
      </c>
      <c r="E132" s="33">
        <f>IF(SUM(K52:K53)&gt;=0.5, 10, IF(SUM(K52:K53)&gt;0.2999, 6, IF(SUM(K52:K53)&gt;0.0999, 1, 0)))</f>
        <v>0</v>
      </c>
      <c r="F132" s="702">
        <f>IF(SUM(M52:M53)&gt;=0.5, 10, IF(SUM(M52:M53)&gt;0.2999, 6, IF(SUM(M52:M53)&gt;0.0999, 1, 0)))</f>
        <v>0</v>
      </c>
    </row>
    <row r="133" spans="1:6" ht="30" x14ac:dyDescent="0.25">
      <c r="A133" s="1244"/>
      <c r="B133" s="597" t="s">
        <v>398</v>
      </c>
      <c r="C133" s="33">
        <v>10</v>
      </c>
      <c r="D133" s="33">
        <f>IF(SUM(I57:I58)&gt;=0.6999, 10, IF(SUM(I57:I58)&gt;0.3999, 6, IF(SUM(I57:I58)&gt;0.1999, 1, 0)))</f>
        <v>0</v>
      </c>
      <c r="E133" s="33">
        <f>IF(SUM(K57:K58)&gt;=0.6999, 10, IF(SUM(K57:K58)&gt;0.3999, 6, IF(SUM(K57:K58)&gt;0.1999, 1, 0)))</f>
        <v>0</v>
      </c>
      <c r="F133" s="702">
        <f>IF(SUM(M57:M58)&gt;=0.6999, 10, IF(SUM(M57:M58)&gt;0.3999, 6, IF(SUM(M57:M58)&gt;0.1999, 1, 0)))</f>
        <v>0</v>
      </c>
    </row>
    <row r="134" spans="1:6" x14ac:dyDescent="0.25">
      <c r="A134" s="1244"/>
      <c r="B134" s="597" t="s">
        <v>399</v>
      </c>
      <c r="C134" s="33">
        <v>5</v>
      </c>
      <c r="D134" s="353">
        <f>IF(SUM(I62:I63)&gt;0.7999, 5, IF(SUM(I62:I63)&gt;0.4999, 3, IF(SUM(I62:I63)&gt;0.2999, 1, 0)))</f>
        <v>0</v>
      </c>
      <c r="E134" s="353">
        <f>IF(SUM(K62:K63)&gt;0.7999, 5, IF(SUM(K62:K63)&gt;0.4999, 3, IF(SUM(K62:K63)&gt;0.2999, 1, 0)))</f>
        <v>0</v>
      </c>
      <c r="F134" s="119">
        <f>IF(SUM(M62:M63)&gt;0.7999, 5, IF(SUM(M62:M63)&gt;0.4999, 3, IF(SUM(M62:M63)&gt;0.2999, 1, 0)))</f>
        <v>0</v>
      </c>
    </row>
    <row r="135" spans="1:6" ht="15.75" thickBot="1" x14ac:dyDescent="0.3">
      <c r="A135" s="1244"/>
      <c r="B135" s="598" t="s">
        <v>400</v>
      </c>
      <c r="C135" s="355">
        <v>5</v>
      </c>
      <c r="D135" s="453">
        <f>IF(SUM(I67:I68)&gt;0.7999, 5, IF(SUM(I67:I68)&gt;0.4999, 3, IF(SUM(I67:I68)&gt;0.2999, 1, 0)))</f>
        <v>0</v>
      </c>
      <c r="E135" s="453">
        <f>IF(SUM(K67:K68)&gt;0.7999, 5, IF(SUM(K67:K68)&gt;0.4999, 3, IF(SUM(K67:K68)&gt;0.2999, 1, 0)))</f>
        <v>0</v>
      </c>
      <c r="F135" s="454">
        <f>IF(SUM(M67:M68)&gt;0.7999, 5, IF(SUM(M67:M68)&gt;0.4999, 3, IF(SUM(M67:M68)&gt;0.2999, 1, 0)))</f>
        <v>0</v>
      </c>
    </row>
    <row r="136" spans="1:6" ht="15.75" thickBot="1" x14ac:dyDescent="0.3">
      <c r="A136" s="1246"/>
      <c r="B136" s="1247" t="s">
        <v>395</v>
      </c>
      <c r="C136" s="1248"/>
      <c r="D136" s="1248"/>
      <c r="E136" s="1248"/>
      <c r="F136" s="133">
        <f>SUM(D130:F135)</f>
        <v>0</v>
      </c>
    </row>
    <row r="137" spans="1:6" x14ac:dyDescent="0.25">
      <c r="A137" s="1243">
        <f>N27</f>
        <v>0</v>
      </c>
      <c r="B137" s="599" t="s">
        <v>373</v>
      </c>
      <c r="C137" s="452">
        <v>10</v>
      </c>
      <c r="D137" s="455">
        <f>IF(SUM(O42:O43)&gt;=0.6999, 10, IF(SUM(O42:O43)&gt;0.3999, 6, IF(SUM(O42:O43)&gt;0.1999, 1, 0)))</f>
        <v>0</v>
      </c>
      <c r="E137" s="455">
        <f>IF(SUM(Q42:Q43)&gt;=0.6999, 10, IF(SUM(Q42:Q43)&gt;0.3999, 6, IF(SUM(Q42:Q43)&gt;0.1999, 1, 0)))</f>
        <v>0</v>
      </c>
      <c r="F137" s="456">
        <f>IF(SUM(S42:S43)&gt;=0.6999, 10, IF(SUM(S42:S43)&gt;0.3999, 6, IF(SUM(S42:S43)&gt;0.1999, 1, 0)))</f>
        <v>0</v>
      </c>
    </row>
    <row r="138" spans="1:6" x14ac:dyDescent="0.25">
      <c r="A138" s="1244"/>
      <c r="B138" s="597" t="s">
        <v>396</v>
      </c>
      <c r="C138" s="33">
        <v>10</v>
      </c>
      <c r="D138" s="353">
        <f>IF(SUM(O47:O48)&gt;=0.6999, 10, IF(SUM(O47:O48)&gt;0.3999, 6, IF(SUM(O47:O48)&gt;0.1999, 1, 0)))</f>
        <v>0</v>
      </c>
      <c r="E138" s="353">
        <f>IF(SUM(Q47:Q48)&gt;=0.6999, 10, IF(SUM(Q47:Q48)&gt;0.3999, 6, IF(SUM(Q47:Q48)&gt;0.1999, 1, 0)))</f>
        <v>0</v>
      </c>
      <c r="F138" s="119">
        <f>IF(SUM(S47:S48)&gt;=0.6999, 10, IF(SUM(S47:S48)&gt;0.3999, 6, IF(SUM(S47:S48)&gt;0.1999, 1, 0)))</f>
        <v>0</v>
      </c>
    </row>
    <row r="139" spans="1:6" ht="30" x14ac:dyDescent="0.25">
      <c r="A139" s="1244"/>
      <c r="B139" s="597" t="s">
        <v>397</v>
      </c>
      <c r="C139" s="33">
        <v>10</v>
      </c>
      <c r="D139" s="353">
        <f>IF(SUM(O52:O53)&gt;=0.5, 10, IF(SUM(O52:O53)&gt;0.2999, 6, IF(SUM(O52:O53)&gt;0.0999, 1, 0)))</f>
        <v>0</v>
      </c>
      <c r="E139" s="353">
        <f>IF(SUM(Q52:Q53)&gt;=0.5, 10, IF(SUM(Q52:Q53)&gt;0.2999, 6, IF(SUM(Q52:Q53)&gt;0.0999, 1, 0)))</f>
        <v>0</v>
      </c>
      <c r="F139" s="119">
        <f>IF(SUM(S52:S53)&gt;=0.5, 10, IF(SUM(S52:S53)&gt;0.2999, 6, IF(SUM(S52:S53)&gt;0.0999, 1, 0)))</f>
        <v>0</v>
      </c>
    </row>
    <row r="140" spans="1:6" ht="30" x14ac:dyDescent="0.25">
      <c r="A140" s="1244"/>
      <c r="B140" s="597" t="s">
        <v>398</v>
      </c>
      <c r="C140" s="33">
        <v>10</v>
      </c>
      <c r="D140" s="353">
        <f>IF(SUM(O57:O58)&gt;=0.6999, 10, IF(SUM(O57:O58)&gt;0.3999, 6, IF(SUM(O57:O58)&gt;0.1999, 1, 0)))</f>
        <v>0</v>
      </c>
      <c r="E140" s="353">
        <f>IF(SUM(Q57:Q58)&gt;=0.6999, 10, IF(SUM(Q57:Q58)&gt;0.3999, 6, IF(SUM(Q57:Q58)&gt;0.1999, 1, 0)))</f>
        <v>0</v>
      </c>
      <c r="F140" s="119">
        <f>IF(SUM(S57:S58)&gt;=0.6999, 10, IF(SUM(S57:S58)&gt;0.3999, 6, IF(SUM(S57:S58)&gt;0.1999, 1, 0)))</f>
        <v>0</v>
      </c>
    </row>
    <row r="141" spans="1:6" x14ac:dyDescent="0.25">
      <c r="A141" s="1245"/>
      <c r="B141" s="597" t="s">
        <v>399</v>
      </c>
      <c r="C141" s="33">
        <v>5</v>
      </c>
      <c r="D141" s="33">
        <f>IF(SUM(O62:O63)&gt;0.7999, 5, IF(SUM(O62:O63)&gt;0.4999, 3, IF(SUM(O62:O63)&gt;0.2999, 1, 0)))</f>
        <v>0</v>
      </c>
      <c r="E141" s="33">
        <f>IF(SUM(Q62:Q63)&gt;0.7999, 5, IF(SUM(Q62:Q63)&gt;0.4999, 3, IF(SUM(Q62:Q63)&gt;0.2999, 1, 0)))</f>
        <v>0</v>
      </c>
      <c r="F141" s="702">
        <f>IF(SUM(S62:S63)&gt;0.7999, 5, IF(SUM(S62:S63)&gt;0.4999, 3, IF(SUM(S62:S63)&gt;0.2999, 1, 0)))</f>
        <v>0</v>
      </c>
    </row>
    <row r="142" spans="1:6" ht="15.75" thickBot="1" x14ac:dyDescent="0.3">
      <c r="A142" s="1245"/>
      <c r="B142" s="598" t="s">
        <v>400</v>
      </c>
      <c r="C142" s="355">
        <v>5</v>
      </c>
      <c r="D142" s="355">
        <f>IF(SUM(O67:O68)&gt;0.7999, 5, IF(SUM(O67:O68)&gt;0.4999, 3, IF(SUM(O67:O68)&gt;0.2999, 1, 0)))</f>
        <v>0</v>
      </c>
      <c r="E142" s="355">
        <f>IF(SUM(Q67:Q68)&gt;0.7999, 5, IF(SUM(Q67:Q68)&gt;0.4999, 3, IF(SUM(Q67:Q68)&gt;0.2999, 1, 0)))</f>
        <v>0</v>
      </c>
      <c r="F142" s="196">
        <f>IF(SUM(S67:S68)&gt;0.7999, 5, IF(SUM(S67:S68)&gt;0.4999, 3, IF(SUM(S67:S68)&gt;0.2999, 1, 0)))</f>
        <v>0</v>
      </c>
    </row>
    <row r="143" spans="1:6" ht="15.75" thickBot="1" x14ac:dyDescent="0.3">
      <c r="A143" s="1245"/>
      <c r="B143" s="1305" t="s">
        <v>395</v>
      </c>
      <c r="C143" s="1306"/>
      <c r="D143" s="1307"/>
      <c r="E143" s="1307"/>
      <c r="F143" s="170">
        <f>SUM(D137:F142)</f>
        <v>0</v>
      </c>
    </row>
    <row r="144" spans="1:6" x14ac:dyDescent="0.25">
      <c r="A144" s="1287" t="s">
        <v>1248</v>
      </c>
      <c r="B144" s="1287"/>
      <c r="C144" s="1287"/>
      <c r="D144" s="306"/>
      <c r="E144" s="306"/>
      <c r="F144" s="306"/>
    </row>
    <row r="145" spans="1:3" x14ac:dyDescent="0.25">
      <c r="A145" s="150" t="s">
        <v>401</v>
      </c>
      <c r="B145" s="457" t="s">
        <v>402</v>
      </c>
      <c r="C145" s="150" t="s">
        <v>34</v>
      </c>
    </row>
    <row r="146" spans="1:3" ht="30" x14ac:dyDescent="0.25">
      <c r="A146" s="449" t="s">
        <v>383</v>
      </c>
      <c r="B146" s="702">
        <v>5</v>
      </c>
      <c r="C146" s="702">
        <f t="shared" ref="C146:C151" si="2">IF(B70="Yes", 5, 0)</f>
        <v>0</v>
      </c>
    </row>
    <row r="147" spans="1:3" ht="45" x14ac:dyDescent="0.25">
      <c r="A147" s="449" t="s">
        <v>384</v>
      </c>
      <c r="B147" s="702">
        <v>5</v>
      </c>
      <c r="C147" s="702">
        <f t="shared" si="2"/>
        <v>0</v>
      </c>
    </row>
    <row r="148" spans="1:3" ht="30" x14ac:dyDescent="0.25">
      <c r="A148" s="449" t="s">
        <v>385</v>
      </c>
      <c r="B148" s="702">
        <v>5</v>
      </c>
      <c r="C148" s="702">
        <f t="shared" si="2"/>
        <v>0</v>
      </c>
    </row>
    <row r="149" spans="1:3" ht="30" x14ac:dyDescent="0.25">
      <c r="A149" s="449" t="s">
        <v>386</v>
      </c>
      <c r="B149" s="702">
        <v>5</v>
      </c>
      <c r="C149" s="702">
        <f t="shared" si="2"/>
        <v>0</v>
      </c>
    </row>
    <row r="150" spans="1:3" ht="30" x14ac:dyDescent="0.25">
      <c r="A150" s="449" t="s">
        <v>387</v>
      </c>
      <c r="B150" s="702">
        <v>5</v>
      </c>
      <c r="C150" s="702">
        <f t="shared" si="2"/>
        <v>0</v>
      </c>
    </row>
    <row r="151" spans="1:3" ht="30" x14ac:dyDescent="0.25">
      <c r="A151" s="449" t="s">
        <v>388</v>
      </c>
      <c r="B151" s="702">
        <v>5</v>
      </c>
      <c r="C151" s="702">
        <f t="shared" si="2"/>
        <v>0</v>
      </c>
    </row>
    <row r="152" spans="1:3" ht="15.75" thickBot="1" x14ac:dyDescent="0.3"/>
    <row r="153" spans="1:3" ht="15.75" thickBot="1" x14ac:dyDescent="0.3">
      <c r="A153" s="458" t="s">
        <v>317</v>
      </c>
      <c r="B153" s="459">
        <f>SUM(C80:C85,C94:C95,D98:D106,F112,F116,F120,F129,F136,F143,C146:C151, C87:C92)</f>
        <v>0</v>
      </c>
    </row>
    <row r="172" spans="7:7" hidden="1" x14ac:dyDescent="0.25">
      <c r="G172" t="s">
        <v>26</v>
      </c>
    </row>
    <row r="173" spans="7:7" hidden="1" x14ac:dyDescent="0.25">
      <c r="G173" t="s">
        <v>28</v>
      </c>
    </row>
  </sheetData>
  <sheetProtection algorithmName="SHA-512" hashValue="aqEWLTICizLtCbFt02/cn0f+42XD8YMpjfrc9CAB/M+ta+icDbLMbSerlEB6NMGaBtlXGjcLtJa+TTe87ZLHIQ==" saltValue="8sinHAas6yuzGROVX+QRgg==" spinCount="100000" sheet="1" objects="1" scenarios="1"/>
  <protectedRanges>
    <protectedRange sqref="B11:G16 B18:G23 B25:G26 B29:S31 B34:S36 B70:B75 P39:P68 N39:N68 L39:L68 J39:J68 H39:H68 F39:F68 D39:D68 B39:B68 R39:R68" name="Range1"/>
  </protectedRanges>
  <mergeCells count="163">
    <mergeCell ref="H29:J29"/>
    <mergeCell ref="A144:C144"/>
    <mergeCell ref="A109:A112"/>
    <mergeCell ref="A113:A116"/>
    <mergeCell ref="A117:A120"/>
    <mergeCell ref="A121:F121"/>
    <mergeCell ref="B112:E112"/>
    <mergeCell ref="B116:E116"/>
    <mergeCell ref="B120:E120"/>
    <mergeCell ref="A98:A100"/>
    <mergeCell ref="A101:A103"/>
    <mergeCell ref="A104:A106"/>
    <mergeCell ref="B143:E143"/>
    <mergeCell ref="H27:M27"/>
    <mergeCell ref="A96:D96"/>
    <mergeCell ref="A107:F107"/>
    <mergeCell ref="A32:A33"/>
    <mergeCell ref="A69:B69"/>
    <mergeCell ref="Q28:S28"/>
    <mergeCell ref="Q29:S29"/>
    <mergeCell ref="Q30:S30"/>
    <mergeCell ref="Q31:S31"/>
    <mergeCell ref="N32:O32"/>
    <mergeCell ref="P32:Q32"/>
    <mergeCell ref="R32:S32"/>
    <mergeCell ref="N28:P28"/>
    <mergeCell ref="N29:P29"/>
    <mergeCell ref="N30:P30"/>
    <mergeCell ref="N31:P31"/>
    <mergeCell ref="K28:M28"/>
    <mergeCell ref="K29:M29"/>
    <mergeCell ref="K30:M30"/>
    <mergeCell ref="K31:M31"/>
    <mergeCell ref="H32:I32"/>
    <mergeCell ref="J32:K32"/>
    <mergeCell ref="L32:M32"/>
    <mergeCell ref="H28:J28"/>
    <mergeCell ref="Q24:S24"/>
    <mergeCell ref="B25:D25"/>
    <mergeCell ref="B26:D26"/>
    <mergeCell ref="E25:G25"/>
    <mergeCell ref="E26:G26"/>
    <mergeCell ref="H25:J25"/>
    <mergeCell ref="H26:J26"/>
    <mergeCell ref="K25:M25"/>
    <mergeCell ref="K26:M26"/>
    <mergeCell ref="N25:P25"/>
    <mergeCell ref="N26:P26"/>
    <mergeCell ref="Q25:S25"/>
    <mergeCell ref="Q26:S26"/>
    <mergeCell ref="B24:D24"/>
    <mergeCell ref="E24:G24"/>
    <mergeCell ref="H24:J24"/>
    <mergeCell ref="K24:M24"/>
    <mergeCell ref="N24:P24"/>
    <mergeCell ref="N15:P15"/>
    <mergeCell ref="Q11:S11"/>
    <mergeCell ref="Q12:S12"/>
    <mergeCell ref="Q13:S13"/>
    <mergeCell ref="Q14:S14"/>
    <mergeCell ref="Q15:S15"/>
    <mergeCell ref="H15:J15"/>
    <mergeCell ref="K11:M11"/>
    <mergeCell ref="K12:M12"/>
    <mergeCell ref="K13:M13"/>
    <mergeCell ref="K14:M14"/>
    <mergeCell ref="K15:M15"/>
    <mergeCell ref="Q10:S10"/>
    <mergeCell ref="B11:D11"/>
    <mergeCell ref="B12:D12"/>
    <mergeCell ref="B13:D13"/>
    <mergeCell ref="B14:D14"/>
    <mergeCell ref="E11:G11"/>
    <mergeCell ref="E12:G12"/>
    <mergeCell ref="E13:G13"/>
    <mergeCell ref="E14:G14"/>
    <mergeCell ref="H11:J11"/>
    <mergeCell ref="H12:J12"/>
    <mergeCell ref="H13:J13"/>
    <mergeCell ref="H14:J14"/>
    <mergeCell ref="N11:P11"/>
    <mergeCell ref="N12:P12"/>
    <mergeCell ref="N13:P13"/>
    <mergeCell ref="B10:D10"/>
    <mergeCell ref="E10:G10"/>
    <mergeCell ref="H10:J10"/>
    <mergeCell ref="K10:M10"/>
    <mergeCell ref="N10:P10"/>
    <mergeCell ref="N14:P14"/>
    <mergeCell ref="N27:S27"/>
    <mergeCell ref="B37:C37"/>
    <mergeCell ref="D37:E37"/>
    <mergeCell ref="F37:G37"/>
    <mergeCell ref="H37:I37"/>
    <mergeCell ref="J37:K37"/>
    <mergeCell ref="L37:M37"/>
    <mergeCell ref="N37:O37"/>
    <mergeCell ref="P37:Q37"/>
    <mergeCell ref="R37:S37"/>
    <mergeCell ref="H30:J30"/>
    <mergeCell ref="H31:J31"/>
    <mergeCell ref="B27:G27"/>
    <mergeCell ref="E28:G28"/>
    <mergeCell ref="E29:G29"/>
    <mergeCell ref="E30:G30"/>
    <mergeCell ref="E31:G31"/>
    <mergeCell ref="B32:C32"/>
    <mergeCell ref="D32:E32"/>
    <mergeCell ref="F32:G32"/>
    <mergeCell ref="B28:D28"/>
    <mergeCell ref="B29:D29"/>
    <mergeCell ref="B30:D30"/>
    <mergeCell ref="B31:D31"/>
    <mergeCell ref="C1:D1"/>
    <mergeCell ref="A137:A143"/>
    <mergeCell ref="A130:A136"/>
    <mergeCell ref="A77:B77"/>
    <mergeCell ref="A123:A129"/>
    <mergeCell ref="B129:E129"/>
    <mergeCell ref="B136:E136"/>
    <mergeCell ref="A37:A38"/>
    <mergeCell ref="B15:D15"/>
    <mergeCell ref="B16:D16"/>
    <mergeCell ref="E15:G15"/>
    <mergeCell ref="E16:G16"/>
    <mergeCell ref="B17:D17"/>
    <mergeCell ref="E17:G17"/>
    <mergeCell ref="B19:D19"/>
    <mergeCell ref="E19:G19"/>
    <mergeCell ref="B21:D21"/>
    <mergeCell ref="E21:G21"/>
    <mergeCell ref="B23:D23"/>
    <mergeCell ref="E23:G23"/>
    <mergeCell ref="H17:J17"/>
    <mergeCell ref="K17:M17"/>
    <mergeCell ref="N17:P17"/>
    <mergeCell ref="Q17:S17"/>
    <mergeCell ref="B18:D18"/>
    <mergeCell ref="E18:G18"/>
    <mergeCell ref="H18:J18"/>
    <mergeCell ref="K18:M18"/>
    <mergeCell ref="N18:P18"/>
    <mergeCell ref="Q18:S18"/>
    <mergeCell ref="H19:J19"/>
    <mergeCell ref="K19:M19"/>
    <mergeCell ref="N19:P19"/>
    <mergeCell ref="Q19:S19"/>
    <mergeCell ref="B20:D20"/>
    <mergeCell ref="E20:G20"/>
    <mergeCell ref="H20:J20"/>
    <mergeCell ref="K20:M20"/>
    <mergeCell ref="N20:P20"/>
    <mergeCell ref="Q20:S20"/>
    <mergeCell ref="H21:J21"/>
    <mergeCell ref="K21:M21"/>
    <mergeCell ref="N21:P21"/>
    <mergeCell ref="Q21:S21"/>
    <mergeCell ref="B22:D22"/>
    <mergeCell ref="E22:G22"/>
    <mergeCell ref="H22:J22"/>
    <mergeCell ref="K22:M22"/>
    <mergeCell ref="N22:P22"/>
    <mergeCell ref="Q22:S22"/>
  </mergeCells>
  <dataValidations count="4">
    <dataValidation type="list" allowBlank="1" showInputMessage="1" showErrorMessage="1" sqref="B70:B75" xr:uid="{B1C5CF84-491A-4F47-A0DA-BA2DEEA0B933}">
      <formula1>$G$172:$G$173</formula1>
    </dataValidation>
    <dataValidation type="whole" allowBlank="1" showInputMessage="1" showErrorMessage="1" sqref="B11:D16 B18:D23" xr:uid="{72F1CED9-730D-44AE-9C88-9A8B91DF4421}">
      <formula1>0</formula1>
      <formula2>10000000000000</formula2>
    </dataValidation>
    <dataValidation type="decimal" allowBlank="1" showInputMessage="1" showErrorMessage="1" sqref="E11:G16 E18:G23 E25:G26 E29:G31 K29:M31 Q29:S31 S34:S36 Q34:Q36 O34:O36 M34:M36 K34:K36 I34:I36 G34:G36 E34:E36 C34:C36" xr:uid="{85726EF8-E46E-4E40-83A4-1F621FE36635}">
      <formula1>0</formula1>
      <formula2>1</formula2>
    </dataValidation>
    <dataValidation type="whole" allowBlank="1" showInputMessage="1" showErrorMessage="1" sqref="B25:D26 N29:P31 H29:J31 B29:D31 B34:B36 D34:D36 F34:F36 H34:H36 J34:J36 L34:L36 N34:N36 P34:P36 H39:H68 R34:R36 D39:D68 P39:P68 F39:F68 L39:L68 J39:J68 B39:B68 N39:N68 R39:R68" xr:uid="{8F5C336F-2104-4D8E-B579-6DDB5DD4AC1B}">
      <formula1>0</formula1>
      <formula2>100000000000</formula2>
    </dataValidation>
  </dataValidations>
  <hyperlinks>
    <hyperlink ref="C1:D1" location="'Respondent Information'!A1" display="Back to Respondent Information" xr:uid="{3CFD4C47-BA29-4F40-878D-96021CB737C0}"/>
  </hyperlinks>
  <pageMargins left="0.7" right="0.7" top="0.75" bottom="0.75" header="0.3" footer="0.3"/>
  <pageSetup scale="38" fitToHeight="0" orientation="landscape" r:id="rId1"/>
  <headerFooter>
    <oddHeader>&amp;C&amp;"Arial,Bold"&amp;14EXHIBIT A-5-a-V3
SUBMISSION REQUIREMENTS AND EVALUATION RESPONSE TEMPLATE</oddHeader>
    <oddFooter>&amp;C&amp;"Arial,Bold"AHCA ITN 010-22/23, Attachment A, Exhibit A-5-a-V3, Page &amp;P of &amp;N</oddFooter>
  </headerFooter>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1ECA1-B6F4-4CEB-AA74-52FE7ECD95A0}">
  <sheetPr codeName="Sheet44">
    <tabColor rgb="FF00B0F0"/>
  </sheetPr>
  <dimension ref="A1:S3"/>
  <sheetViews>
    <sheetView zoomScaleNormal="100" workbookViewId="0"/>
  </sheetViews>
  <sheetFormatPr defaultRowHeight="15" x14ac:dyDescent="0.25"/>
  <cols>
    <col min="1" max="1" width="9.140625" customWidth="1"/>
  </cols>
  <sheetData>
    <row r="1" spans="1:19" ht="23.25" x14ac:dyDescent="0.35">
      <c r="A1" s="691" t="s">
        <v>403</v>
      </c>
      <c r="B1" s="691"/>
      <c r="C1" s="691"/>
      <c r="D1" s="691"/>
      <c r="E1" s="691"/>
      <c r="F1" s="691"/>
      <c r="G1" s="691"/>
      <c r="H1" s="691"/>
      <c r="I1" s="691"/>
      <c r="J1" s="691" t="s">
        <v>404</v>
      </c>
      <c r="S1" s="691" t="s">
        <v>404</v>
      </c>
    </row>
    <row r="2" spans="1:19" ht="15" customHeight="1" x14ac:dyDescent="0.35">
      <c r="A2" s="691"/>
      <c r="B2" s="691"/>
      <c r="C2" s="691"/>
      <c r="D2" s="691"/>
      <c r="E2" s="691"/>
      <c r="F2" s="691"/>
      <c r="G2" s="691"/>
      <c r="H2" s="691"/>
      <c r="I2" s="691"/>
    </row>
    <row r="3" spans="1:19" x14ac:dyDescent="0.25">
      <c r="A3" s="1083" t="s">
        <v>82</v>
      </c>
      <c r="B3" s="1083"/>
      <c r="C3" s="1083"/>
      <c r="D3" s="1083"/>
    </row>
  </sheetData>
  <sheetProtection algorithmName="SHA-512" hashValue="2TdnSIEEjSvWz6yXzw6F897Ns+RJWhx+Dhj4bbIODIH4gMc8dEtDbIapn1tK9YhkzCZFH+UMnXt5ZIhGAE/duw==" saltValue="pBtf6B1CH6ftaG5xOfj7oQ==" spinCount="100000" sheet="1" objects="1" scenarios="1"/>
  <mergeCells count="1">
    <mergeCell ref="A3:D3"/>
  </mergeCells>
  <hyperlinks>
    <hyperlink ref="A3" location="'Respondent Information'!A1" display="Back to Respondent Information" xr:uid="{FC6BCB0F-DC98-4396-9E84-E37B7E4EF893}"/>
  </hyperlinks>
  <pageMargins left="0.7" right="0.7" top="0.75" bottom="0.75" header="0.3" footer="0.3"/>
  <pageSetup orientation="portrait" r:id="rId1"/>
  <headerFooter>
    <oddHeader>&amp;C&amp;"Arial,Bold"&amp;14EXHIBIT A-5-a-V3
SUBMISSION REQUIREMENTS AND EVALUATION RESPONSE TEMPLATE</oddHeader>
    <oddFooter>&amp;C&amp;"Arial,Bold"AHCA ITN 010-22/23, Attachment A, Exhibit A-5-a-V3, Page &amp;P of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05537-C4D2-47A7-B711-F44BD06FA8BA}">
  <sheetPr codeName="Sheet45">
    <tabColor rgb="FF00B0F0"/>
    <pageSetUpPr fitToPage="1"/>
  </sheetPr>
  <dimension ref="A1:G83"/>
  <sheetViews>
    <sheetView workbookViewId="0">
      <selection activeCell="D1" sqref="D1"/>
    </sheetView>
  </sheetViews>
  <sheetFormatPr defaultRowHeight="15" x14ac:dyDescent="0.25"/>
  <cols>
    <col min="1" max="1" width="31.140625" customWidth="1"/>
    <col min="2" max="2" width="34.85546875" bestFit="1" customWidth="1"/>
    <col min="3" max="4" width="31.140625" bestFit="1" customWidth="1"/>
    <col min="5" max="5" width="34.140625" customWidth="1"/>
    <col min="6" max="6" width="30.7109375" customWidth="1"/>
    <col min="7" max="7" width="31.140625" bestFit="1" customWidth="1"/>
    <col min="8" max="8" width="34" customWidth="1"/>
    <col min="9" max="9" width="18" customWidth="1"/>
    <col min="10" max="10" width="22.140625" customWidth="1"/>
  </cols>
  <sheetData>
    <row r="1" spans="1:7" ht="23.25" x14ac:dyDescent="0.35">
      <c r="A1" s="691" t="s">
        <v>405</v>
      </c>
      <c r="D1" s="643" t="s">
        <v>82</v>
      </c>
    </row>
    <row r="2" spans="1:7" ht="28.5" x14ac:dyDescent="0.45">
      <c r="A2" s="14"/>
    </row>
    <row r="3" spans="1:7" x14ac:dyDescent="0.25">
      <c r="A3" s="692" t="s">
        <v>84</v>
      </c>
      <c r="B3" s="692" t="s">
        <v>85</v>
      </c>
    </row>
    <row r="4" spans="1:7" x14ac:dyDescent="0.25">
      <c r="A4" s="693" t="s">
        <v>87</v>
      </c>
      <c r="B4" s="179">
        <v>270</v>
      </c>
    </row>
    <row r="5" spans="1:7" x14ac:dyDescent="0.25">
      <c r="A5" s="693" t="s">
        <v>88</v>
      </c>
      <c r="B5" s="222">
        <f>D83</f>
        <v>0</v>
      </c>
      <c r="C5" s="17"/>
      <c r="D5" s="17"/>
      <c r="E5" s="17"/>
      <c r="G5" s="17"/>
    </row>
    <row r="6" spans="1:7" x14ac:dyDescent="0.25">
      <c r="A6" s="413" t="s">
        <v>89</v>
      </c>
      <c r="B6" s="420">
        <f>B5/B4</f>
        <v>0</v>
      </c>
      <c r="C6" s="17"/>
      <c r="D6" s="17"/>
      <c r="E6" s="17"/>
      <c r="G6" s="17"/>
    </row>
    <row r="7" spans="1:7" x14ac:dyDescent="0.25">
      <c r="A7" s="413" t="s">
        <v>135</v>
      </c>
      <c r="B7" s="414">
        <v>120</v>
      </c>
      <c r="C7" s="17"/>
      <c r="D7" s="17"/>
      <c r="E7" s="17"/>
      <c r="G7" s="17"/>
    </row>
    <row r="8" spans="1:7" x14ac:dyDescent="0.25">
      <c r="A8" s="413" t="s">
        <v>406</v>
      </c>
      <c r="B8" s="421">
        <f>B6*B7</f>
        <v>0</v>
      </c>
      <c r="C8" s="17"/>
      <c r="D8" s="17"/>
      <c r="E8" s="17"/>
      <c r="G8" s="17"/>
    </row>
    <row r="9" spans="1:7" ht="15.75" thickBot="1" x14ac:dyDescent="0.3">
      <c r="A9" s="41"/>
      <c r="B9" s="113"/>
      <c r="C9" s="17"/>
      <c r="D9" s="17"/>
      <c r="E9" s="17"/>
      <c r="G9" s="17"/>
    </row>
    <row r="10" spans="1:7" ht="29.25" customHeight="1" x14ac:dyDescent="0.35">
      <c r="A10" s="1328">
        <f>'Respondent Information'!C6</f>
        <v>0</v>
      </c>
      <c r="B10" s="1329"/>
      <c r="C10" s="1328">
        <f>'Respondent Information'!C9</f>
        <v>0</v>
      </c>
      <c r="D10" s="1329"/>
      <c r="E10" s="1328">
        <f>'Respondent Information'!C12</f>
        <v>0</v>
      </c>
      <c r="F10" s="1329"/>
    </row>
    <row r="11" spans="1:7" ht="29.25" customHeight="1" x14ac:dyDescent="0.25">
      <c r="A11" s="647" t="s">
        <v>137</v>
      </c>
      <c r="B11" s="305">
        <f>'Respondent Information'!E6</f>
        <v>0</v>
      </c>
      <c r="C11" s="646" t="s">
        <v>137</v>
      </c>
      <c r="D11" s="237">
        <f>'Respondent Information'!E9</f>
        <v>0</v>
      </c>
      <c r="E11" s="646" t="s">
        <v>137</v>
      </c>
      <c r="F11" s="800">
        <f>'Respondent Information'!E12</f>
        <v>0</v>
      </c>
    </row>
    <row r="12" spans="1:7" ht="29.25" customHeight="1" thickBot="1" x14ac:dyDescent="0.3">
      <c r="A12" s="804" t="s">
        <v>407</v>
      </c>
      <c r="B12" s="805">
        <f>IF(ISBLANK('Respondent Information'!M5), IF(ISBLANK('Respondent Information'!K5), 'Respondent Information'!I5, 'Respondent Information'!K5),  'Respondent Information'!M5)</f>
        <v>0</v>
      </c>
      <c r="C12" s="806" t="s">
        <v>407</v>
      </c>
      <c r="D12" s="805">
        <f>IF(ISBLANK('Respondent Information'!M9), IF(ISBLANK('Respondent Information'!K9), 'Respondent Information'!I9, 'Respondent Information'!K9),  'Respondent Information'!M9)</f>
        <v>0</v>
      </c>
      <c r="E12" s="806" t="s">
        <v>407</v>
      </c>
      <c r="F12" s="807">
        <f>IF(ISBLANK('Respondent Information'!M12), IF(ISBLANK('Respondent Information'!K12), 'Respondent Information'!I12, 'Respondent Information'!K12),  'Respondent Information'!M12)</f>
        <v>0</v>
      </c>
    </row>
    <row r="13" spans="1:7" ht="23.25" customHeight="1" thickBot="1" x14ac:dyDescent="0.3">
      <c r="A13" s="1327" t="s">
        <v>324</v>
      </c>
      <c r="B13" s="1316"/>
      <c r="C13" s="1327" t="s">
        <v>324</v>
      </c>
      <c r="D13" s="1316"/>
      <c r="E13" s="1327" t="s">
        <v>324</v>
      </c>
      <c r="F13" s="1316"/>
    </row>
    <row r="14" spans="1:7" ht="30" x14ac:dyDescent="0.25">
      <c r="A14" s="808" t="s">
        <v>389</v>
      </c>
      <c r="B14" s="809" t="s">
        <v>408</v>
      </c>
      <c r="C14" s="810" t="s">
        <v>389</v>
      </c>
      <c r="D14" s="811" t="s">
        <v>408</v>
      </c>
      <c r="E14" s="808" t="s">
        <v>389</v>
      </c>
      <c r="F14" s="812" t="s">
        <v>408</v>
      </c>
    </row>
    <row r="15" spans="1:7" x14ac:dyDescent="0.25">
      <c r="A15" s="131" t="s">
        <v>325</v>
      </c>
      <c r="B15" s="655"/>
      <c r="C15" s="181" t="s">
        <v>325</v>
      </c>
      <c r="D15" s="655"/>
      <c r="E15" s="131" t="s">
        <v>325</v>
      </c>
      <c r="F15" s="655"/>
    </row>
    <row r="16" spans="1:7" x14ac:dyDescent="0.25">
      <c r="A16" s="131" t="s">
        <v>326</v>
      </c>
      <c r="B16" s="655"/>
      <c r="C16" s="181" t="s">
        <v>326</v>
      </c>
      <c r="D16" s="655"/>
      <c r="E16" s="131" t="s">
        <v>326</v>
      </c>
      <c r="F16" s="655"/>
    </row>
    <row r="17" spans="1:6" x14ac:dyDescent="0.25">
      <c r="A17" s="131" t="s">
        <v>327</v>
      </c>
      <c r="B17" s="655"/>
      <c r="C17" s="181" t="s">
        <v>327</v>
      </c>
      <c r="D17" s="655"/>
      <c r="E17" s="131" t="s">
        <v>327</v>
      </c>
      <c r="F17" s="655"/>
    </row>
    <row r="18" spans="1:6" x14ac:dyDescent="0.25">
      <c r="A18" s="131" t="s">
        <v>328</v>
      </c>
      <c r="B18" s="655"/>
      <c r="C18" s="181" t="s">
        <v>328</v>
      </c>
      <c r="D18" s="655"/>
      <c r="E18" s="131" t="s">
        <v>328</v>
      </c>
      <c r="F18" s="655"/>
    </row>
    <row r="19" spans="1:6" x14ac:dyDescent="0.25">
      <c r="A19" s="131" t="s">
        <v>329</v>
      </c>
      <c r="B19" s="655"/>
      <c r="C19" s="181" t="s">
        <v>329</v>
      </c>
      <c r="D19" s="655"/>
      <c r="E19" s="131" t="s">
        <v>329</v>
      </c>
      <c r="F19" s="655"/>
    </row>
    <row r="20" spans="1:6" x14ac:dyDescent="0.25">
      <c r="A20" s="131" t="s">
        <v>330</v>
      </c>
      <c r="B20" s="655"/>
      <c r="C20" s="181" t="s">
        <v>330</v>
      </c>
      <c r="D20" s="655"/>
      <c r="E20" s="131" t="s">
        <v>330</v>
      </c>
      <c r="F20" s="655"/>
    </row>
    <row r="21" spans="1:6" x14ac:dyDescent="0.25">
      <c r="A21" s="131" t="s">
        <v>331</v>
      </c>
      <c r="B21" s="655"/>
      <c r="C21" s="181" t="s">
        <v>331</v>
      </c>
      <c r="D21" s="655"/>
      <c r="E21" s="131" t="s">
        <v>331</v>
      </c>
      <c r="F21" s="655"/>
    </row>
    <row r="22" spans="1:6" x14ac:dyDescent="0.25">
      <c r="A22" s="131" t="s">
        <v>410</v>
      </c>
      <c r="B22" s="655"/>
      <c r="C22" s="181" t="s">
        <v>410</v>
      </c>
      <c r="D22" s="655"/>
      <c r="E22" s="131" t="s">
        <v>410</v>
      </c>
      <c r="F22" s="655"/>
    </row>
    <row r="23" spans="1:6" ht="15.75" thickBot="1" x14ac:dyDescent="0.3">
      <c r="A23" s="132" t="s">
        <v>411</v>
      </c>
      <c r="B23" s="534"/>
      <c r="C23" s="182" t="s">
        <v>411</v>
      </c>
      <c r="D23" s="534"/>
      <c r="E23" s="132" t="s">
        <v>411</v>
      </c>
      <c r="F23" s="534"/>
    </row>
    <row r="24" spans="1:6" ht="15.75" thickBot="1" x14ac:dyDescent="0.3">
      <c r="A24" s="1313" t="s">
        <v>1233</v>
      </c>
      <c r="B24" s="1314"/>
      <c r="C24" s="836"/>
      <c r="D24" s="837"/>
      <c r="E24" s="130"/>
      <c r="F24" s="837"/>
    </row>
    <row r="25" spans="1:6" ht="30" x14ac:dyDescent="0.25">
      <c r="A25" s="813" t="s">
        <v>389</v>
      </c>
      <c r="B25" s="814" t="s">
        <v>409</v>
      </c>
      <c r="C25" s="836"/>
      <c r="D25" s="837"/>
      <c r="E25" s="130"/>
      <c r="F25" s="837"/>
    </row>
    <row r="26" spans="1:6" x14ac:dyDescent="0.25">
      <c r="A26" s="803" t="s">
        <v>325</v>
      </c>
      <c r="B26" s="833"/>
      <c r="C26" s="836"/>
      <c r="D26" s="837"/>
      <c r="E26" s="130"/>
      <c r="F26" s="837"/>
    </row>
    <row r="27" spans="1:6" x14ac:dyDescent="0.25">
      <c r="A27" s="801" t="s">
        <v>326</v>
      </c>
      <c r="B27" s="834"/>
      <c r="C27" s="836"/>
      <c r="D27" s="837"/>
      <c r="E27" s="130"/>
      <c r="F27" s="837"/>
    </row>
    <row r="28" spans="1:6" x14ac:dyDescent="0.25">
      <c r="A28" s="801" t="s">
        <v>327</v>
      </c>
      <c r="B28" s="834"/>
      <c r="C28" s="836"/>
      <c r="D28" s="837"/>
      <c r="E28" s="130"/>
      <c r="F28" s="837"/>
    </row>
    <row r="29" spans="1:6" x14ac:dyDescent="0.25">
      <c r="A29" s="801" t="s">
        <v>328</v>
      </c>
      <c r="B29" s="834"/>
      <c r="C29" s="836"/>
      <c r="D29" s="837"/>
      <c r="E29" s="130"/>
      <c r="F29" s="837"/>
    </row>
    <row r="30" spans="1:6" x14ac:dyDescent="0.25">
      <c r="A30" s="801" t="s">
        <v>329</v>
      </c>
      <c r="B30" s="834"/>
      <c r="C30" s="836"/>
      <c r="D30" s="837"/>
      <c r="E30" s="130"/>
      <c r="F30" s="837"/>
    </row>
    <row r="31" spans="1:6" x14ac:dyDescent="0.25">
      <c r="A31" s="801" t="s">
        <v>330</v>
      </c>
      <c r="B31" s="834"/>
      <c r="C31" s="836"/>
      <c r="D31" s="837"/>
      <c r="E31" s="130"/>
      <c r="F31" s="837"/>
    </row>
    <row r="32" spans="1:6" x14ac:dyDescent="0.25">
      <c r="A32" s="801" t="s">
        <v>331</v>
      </c>
      <c r="B32" s="834"/>
      <c r="C32" s="836"/>
      <c r="D32" s="837"/>
      <c r="E32" s="130"/>
      <c r="F32" s="837"/>
    </row>
    <row r="33" spans="1:7" x14ac:dyDescent="0.25">
      <c r="A33" s="801" t="s">
        <v>410</v>
      </c>
      <c r="B33" s="834"/>
      <c r="C33" s="836"/>
      <c r="D33" s="837"/>
      <c r="E33" s="130"/>
      <c r="F33" s="837"/>
    </row>
    <row r="34" spans="1:7" ht="15.75" thickBot="1" x14ac:dyDescent="0.3">
      <c r="A34" s="802" t="s">
        <v>411</v>
      </c>
      <c r="B34" s="835"/>
      <c r="C34" s="836"/>
      <c r="D34" s="837"/>
      <c r="E34" s="130"/>
      <c r="F34" s="837"/>
    </row>
    <row r="35" spans="1:7" x14ac:dyDescent="0.25">
      <c r="A35" s="130"/>
      <c r="B35" s="639"/>
      <c r="C35" s="639"/>
      <c r="D35" s="639"/>
    </row>
    <row r="36" spans="1:7" ht="21" x14ac:dyDescent="0.35">
      <c r="A36" s="1326" t="s">
        <v>117</v>
      </c>
      <c r="B36" s="1326"/>
    </row>
    <row r="37" spans="1:7" ht="15.75" thickBot="1" x14ac:dyDescent="0.3"/>
    <row r="38" spans="1:7" ht="45.75" thickBot="1" x14ac:dyDescent="0.3">
      <c r="A38" s="183" t="s">
        <v>18</v>
      </c>
      <c r="B38" s="183" t="s">
        <v>389</v>
      </c>
      <c r="C38" s="184" t="s">
        <v>412</v>
      </c>
      <c r="D38" s="185" t="s">
        <v>413</v>
      </c>
      <c r="E38" s="232"/>
    </row>
    <row r="39" spans="1:7" ht="15.75" thickBot="1" x14ac:dyDescent="0.3">
      <c r="A39" s="1317">
        <f>A10</f>
        <v>0</v>
      </c>
      <c r="B39" s="1315" t="s">
        <v>324</v>
      </c>
      <c r="C39" s="1315"/>
      <c r="D39" s="1316"/>
      <c r="E39" s="639"/>
      <c r="F39" t="s">
        <v>414</v>
      </c>
      <c r="G39" s="113"/>
    </row>
    <row r="40" spans="1:7" x14ac:dyDescent="0.25">
      <c r="A40" s="1318"/>
      <c r="B40" s="829" t="s">
        <v>325</v>
      </c>
      <c r="C40" s="456">
        <v>5</v>
      </c>
      <c r="D40" s="277">
        <f>IF(B15&gt;0.0999, 5, IF(B15&gt;0.0299, 3, IF(B15&gt;0.0099, 1, 0)))</f>
        <v>0</v>
      </c>
      <c r="E40" s="113"/>
    </row>
    <row r="41" spans="1:7" x14ac:dyDescent="0.25">
      <c r="A41" s="1318"/>
      <c r="B41" s="825" t="s">
        <v>326</v>
      </c>
      <c r="C41" s="119">
        <v>5</v>
      </c>
      <c r="D41" s="117">
        <f t="shared" ref="D41:D46" si="0">IF(B16&gt;0.0999, 5, IF(B16&gt;0.0299, 3, IF(B16&gt;0.0099, 1, 0)))</f>
        <v>0</v>
      </c>
      <c r="E41" s="113"/>
    </row>
    <row r="42" spans="1:7" x14ac:dyDescent="0.25">
      <c r="A42" s="1318"/>
      <c r="B42" s="825" t="s">
        <v>327</v>
      </c>
      <c r="C42" s="119">
        <v>5</v>
      </c>
      <c r="D42" s="117">
        <f t="shared" si="0"/>
        <v>0</v>
      </c>
      <c r="E42" s="113"/>
    </row>
    <row r="43" spans="1:7" x14ac:dyDescent="0.25">
      <c r="A43" s="1318"/>
      <c r="B43" s="825" t="s">
        <v>328</v>
      </c>
      <c r="C43" s="119">
        <v>5</v>
      </c>
      <c r="D43" s="117">
        <f t="shared" si="0"/>
        <v>0</v>
      </c>
      <c r="E43" s="113"/>
    </row>
    <row r="44" spans="1:7" x14ac:dyDescent="0.25">
      <c r="A44" s="1318"/>
      <c r="B44" s="825" t="s">
        <v>329</v>
      </c>
      <c r="C44" s="119">
        <v>5</v>
      </c>
      <c r="D44" s="117">
        <f t="shared" si="0"/>
        <v>0</v>
      </c>
      <c r="E44" s="113"/>
    </row>
    <row r="45" spans="1:7" x14ac:dyDescent="0.25">
      <c r="A45" s="1318"/>
      <c r="B45" s="825" t="s">
        <v>330</v>
      </c>
      <c r="C45" s="119">
        <v>5</v>
      </c>
      <c r="D45" s="117">
        <f t="shared" si="0"/>
        <v>0</v>
      </c>
      <c r="E45" s="113"/>
    </row>
    <row r="46" spans="1:7" x14ac:dyDescent="0.25">
      <c r="A46" s="1318"/>
      <c r="B46" s="825" t="s">
        <v>331</v>
      </c>
      <c r="C46" s="119">
        <v>5</v>
      </c>
      <c r="D46" s="117">
        <f t="shared" si="0"/>
        <v>0</v>
      </c>
      <c r="E46" s="113"/>
    </row>
    <row r="47" spans="1:7" x14ac:dyDescent="0.25">
      <c r="A47" s="1318"/>
      <c r="B47" s="825" t="s">
        <v>410</v>
      </c>
      <c r="C47" s="119">
        <v>5</v>
      </c>
      <c r="D47" s="117">
        <f>IF(B22&gt;0.0999, 5, IF(B22&gt;0.0299, 3, IF(B22&gt;0.0099, 1, 0)))</f>
        <v>0</v>
      </c>
      <c r="E47" s="113"/>
      <c r="F47" s="113"/>
    </row>
    <row r="48" spans="1:7" ht="15.75" thickBot="1" x14ac:dyDescent="0.3">
      <c r="A48" s="1318"/>
      <c r="B48" s="830" t="s">
        <v>411</v>
      </c>
      <c r="C48" s="454">
        <v>5</v>
      </c>
      <c r="D48" s="807">
        <f>IF(B23&gt;0.0999, 5, IF(B23&gt;0.0299, 3, IF(B23&gt;0.0099, 1, 0)))</f>
        <v>0</v>
      </c>
      <c r="E48" s="113"/>
    </row>
    <row r="49" spans="1:7" ht="15.75" thickBot="1" x14ac:dyDescent="0.3">
      <c r="A49" s="1319"/>
      <c r="B49" s="1308" t="s">
        <v>126</v>
      </c>
      <c r="C49" s="1309"/>
      <c r="D49" s="170">
        <f>SUM($D$40:$D$48)</f>
        <v>0</v>
      </c>
      <c r="F49" s="233"/>
    </row>
    <row r="50" spans="1:7" ht="15.75" thickBot="1" x14ac:dyDescent="0.3">
      <c r="A50" s="1320">
        <f>C10</f>
        <v>0</v>
      </c>
      <c r="B50" s="1315" t="s">
        <v>324</v>
      </c>
      <c r="C50" s="1315"/>
      <c r="D50" s="1316"/>
      <c r="E50" s="234"/>
    </row>
    <row r="51" spans="1:7" x14ac:dyDescent="0.25">
      <c r="A51" s="1321"/>
      <c r="B51" s="826" t="s">
        <v>325</v>
      </c>
      <c r="C51" s="818">
        <v>5</v>
      </c>
      <c r="D51" s="831">
        <f>IF(D15&gt;0.0999, 5, IF(D15&gt;0.0299, 3, IF(D15&gt;0.0099, 1, 0)))</f>
        <v>0</v>
      </c>
      <c r="E51" s="235"/>
    </row>
    <row r="52" spans="1:7" x14ac:dyDescent="0.25">
      <c r="A52" s="1321"/>
      <c r="B52" s="827" t="s">
        <v>326</v>
      </c>
      <c r="C52" s="187">
        <v>5</v>
      </c>
      <c r="D52" s="188">
        <f t="shared" ref="D52:D59" si="1">IF(D16&gt;0.0999, 5, IF(D16&gt;0.0299, 3, IF(D16&gt;0.0099, 1, 0)))</f>
        <v>0</v>
      </c>
      <c r="E52" s="235"/>
    </row>
    <row r="53" spans="1:7" x14ac:dyDescent="0.25">
      <c r="A53" s="1321"/>
      <c r="B53" s="827" t="s">
        <v>327</v>
      </c>
      <c r="C53" s="187">
        <v>5</v>
      </c>
      <c r="D53" s="188">
        <f t="shared" si="1"/>
        <v>0</v>
      </c>
      <c r="E53" s="235"/>
    </row>
    <row r="54" spans="1:7" x14ac:dyDescent="0.25">
      <c r="A54" s="1321"/>
      <c r="B54" s="827" t="s">
        <v>328</v>
      </c>
      <c r="C54" s="187">
        <v>5</v>
      </c>
      <c r="D54" s="188">
        <f t="shared" si="1"/>
        <v>0</v>
      </c>
      <c r="E54" s="235"/>
    </row>
    <row r="55" spans="1:7" x14ac:dyDescent="0.25">
      <c r="A55" s="1321"/>
      <c r="B55" s="827" t="s">
        <v>329</v>
      </c>
      <c r="C55" s="187">
        <v>5</v>
      </c>
      <c r="D55" s="188">
        <f t="shared" si="1"/>
        <v>0</v>
      </c>
      <c r="E55" s="235"/>
    </row>
    <row r="56" spans="1:7" x14ac:dyDescent="0.25">
      <c r="A56" s="1321"/>
      <c r="B56" s="827" t="s">
        <v>330</v>
      </c>
      <c r="C56" s="187">
        <v>5</v>
      </c>
      <c r="D56" s="188">
        <f t="shared" si="1"/>
        <v>0</v>
      </c>
      <c r="E56" s="235"/>
    </row>
    <row r="57" spans="1:7" x14ac:dyDescent="0.25">
      <c r="A57" s="1321"/>
      <c r="B57" s="827" t="s">
        <v>331</v>
      </c>
      <c r="C57" s="187">
        <v>5</v>
      </c>
      <c r="D57" s="188">
        <f t="shared" si="1"/>
        <v>0</v>
      </c>
      <c r="E57" s="235"/>
    </row>
    <row r="58" spans="1:7" x14ac:dyDescent="0.25">
      <c r="A58" s="1321"/>
      <c r="B58" s="827" t="s">
        <v>410</v>
      </c>
      <c r="C58" s="187">
        <v>5</v>
      </c>
      <c r="D58" s="188">
        <f t="shared" si="1"/>
        <v>0</v>
      </c>
      <c r="E58" s="235"/>
    </row>
    <row r="59" spans="1:7" ht="15.75" thickBot="1" x14ac:dyDescent="0.3">
      <c r="A59" s="1321"/>
      <c r="B59" s="828" t="s">
        <v>411</v>
      </c>
      <c r="C59" s="820">
        <v>5</v>
      </c>
      <c r="D59" s="817">
        <f t="shared" si="1"/>
        <v>0</v>
      </c>
      <c r="E59" s="235"/>
    </row>
    <row r="60" spans="1:7" ht="15.75" thickBot="1" x14ac:dyDescent="0.3">
      <c r="A60" s="1322"/>
      <c r="B60" s="1323" t="s">
        <v>126</v>
      </c>
      <c r="C60" s="1324"/>
      <c r="D60" s="821">
        <f>SUM($D$51:$D$59)</f>
        <v>0</v>
      </c>
      <c r="E60" s="235"/>
      <c r="G60" s="236"/>
    </row>
    <row r="61" spans="1:7" ht="15.75" customHeight="1" thickBot="1" x14ac:dyDescent="0.3">
      <c r="A61" s="1325">
        <f>E10</f>
        <v>0</v>
      </c>
      <c r="B61" s="1315" t="s">
        <v>324</v>
      </c>
      <c r="C61" s="1315"/>
      <c r="D61" s="1316"/>
      <c r="E61" s="639"/>
    </row>
    <row r="62" spans="1:7" ht="15" customHeight="1" x14ac:dyDescent="0.25">
      <c r="A62" s="1118"/>
      <c r="B62" s="825" t="s">
        <v>325</v>
      </c>
      <c r="C62" s="119">
        <v>5</v>
      </c>
      <c r="D62" s="117">
        <f>IF(F15&gt;0.0999, 5, IF(F15&gt;0.0299, 3, IF(F15&gt;0.0099, 1, 0)))</f>
        <v>0</v>
      </c>
      <c r="E62" s="113"/>
    </row>
    <row r="63" spans="1:7" ht="15" customHeight="1" x14ac:dyDescent="0.25">
      <c r="A63" s="1118"/>
      <c r="B63" s="825" t="s">
        <v>326</v>
      </c>
      <c r="C63" s="119">
        <v>5</v>
      </c>
      <c r="D63" s="117">
        <f t="shared" ref="D63:D69" si="2">IF(F16&gt;0.0999, 5, IF(F16&gt;0.0299, 3, IF(F16&gt;0.0099, 1, 0)))</f>
        <v>0</v>
      </c>
      <c r="E63" s="113"/>
    </row>
    <row r="64" spans="1:7" ht="15" customHeight="1" x14ac:dyDescent="0.25">
      <c r="A64" s="1118"/>
      <c r="B64" s="825" t="s">
        <v>327</v>
      </c>
      <c r="C64" s="119">
        <v>5</v>
      </c>
      <c r="D64" s="117">
        <f t="shared" si="2"/>
        <v>0</v>
      </c>
      <c r="E64" s="113"/>
    </row>
    <row r="65" spans="1:5" ht="15" customHeight="1" x14ac:dyDescent="0.25">
      <c r="A65" s="1118"/>
      <c r="B65" s="825" t="s">
        <v>328</v>
      </c>
      <c r="C65" s="119">
        <v>5</v>
      </c>
      <c r="D65" s="117">
        <f t="shared" si="2"/>
        <v>0</v>
      </c>
      <c r="E65" s="113"/>
    </row>
    <row r="66" spans="1:5" ht="15" customHeight="1" x14ac:dyDescent="0.25">
      <c r="A66" s="1118"/>
      <c r="B66" s="825" t="s">
        <v>329</v>
      </c>
      <c r="C66" s="119">
        <v>5</v>
      </c>
      <c r="D66" s="117">
        <f t="shared" si="2"/>
        <v>0</v>
      </c>
      <c r="E66" s="113"/>
    </row>
    <row r="67" spans="1:5" ht="15" customHeight="1" x14ac:dyDescent="0.25">
      <c r="A67" s="1118"/>
      <c r="B67" s="825" t="s">
        <v>330</v>
      </c>
      <c r="C67" s="119">
        <v>5</v>
      </c>
      <c r="D67" s="117">
        <f t="shared" si="2"/>
        <v>0</v>
      </c>
      <c r="E67" s="113"/>
    </row>
    <row r="68" spans="1:5" ht="15" customHeight="1" x14ac:dyDescent="0.25">
      <c r="A68" s="1118"/>
      <c r="B68" s="825" t="s">
        <v>331</v>
      </c>
      <c r="C68" s="119">
        <v>5</v>
      </c>
      <c r="D68" s="117">
        <f t="shared" si="2"/>
        <v>0</v>
      </c>
      <c r="E68" s="113"/>
    </row>
    <row r="69" spans="1:5" ht="15" customHeight="1" x14ac:dyDescent="0.25">
      <c r="A69" s="1118"/>
      <c r="B69" s="825" t="s">
        <v>410</v>
      </c>
      <c r="C69" s="119">
        <v>5</v>
      </c>
      <c r="D69" s="117">
        <f t="shared" si="2"/>
        <v>0</v>
      </c>
      <c r="E69" s="113"/>
    </row>
    <row r="70" spans="1:5" ht="15.75" customHeight="1" thickBot="1" x14ac:dyDescent="0.3">
      <c r="A70" s="1118"/>
      <c r="B70" s="825" t="s">
        <v>411</v>
      </c>
      <c r="C70" s="119">
        <v>5</v>
      </c>
      <c r="D70" s="117">
        <f>IF(F23&gt;0.0999, 5, IF(F23&gt;0.0299, 3, IF(F23&gt;0.0099, 1, 0)))</f>
        <v>0</v>
      </c>
      <c r="E70" s="113"/>
    </row>
    <row r="71" spans="1:5" ht="15.75" customHeight="1" thickBot="1" x14ac:dyDescent="0.3">
      <c r="A71" s="1119"/>
      <c r="B71" s="1323" t="s">
        <v>126</v>
      </c>
      <c r="C71" s="1324"/>
      <c r="D71" s="127">
        <f>SUM(D62:D70)</f>
        <v>0</v>
      </c>
      <c r="E71" s="237"/>
    </row>
    <row r="72" spans="1:5" ht="15.75" customHeight="1" thickBot="1" x14ac:dyDescent="0.3">
      <c r="A72" s="1310" t="s">
        <v>1235</v>
      </c>
      <c r="B72" s="1315" t="s">
        <v>1234</v>
      </c>
      <c r="C72" s="1315"/>
      <c r="D72" s="1316"/>
    </row>
    <row r="73" spans="1:5" x14ac:dyDescent="0.25">
      <c r="A73" s="1311"/>
      <c r="B73" s="822" t="s">
        <v>325</v>
      </c>
      <c r="C73" s="819">
        <v>15</v>
      </c>
      <c r="D73" s="832">
        <f>IF(B26&gt;=0.1, 15, IF(B26&gt;=0.03, 10, IF(B26&gt;=0.01, 5, 0)))</f>
        <v>0</v>
      </c>
    </row>
    <row r="74" spans="1:5" ht="15" customHeight="1" x14ac:dyDescent="0.25">
      <c r="A74" s="1311"/>
      <c r="B74" s="823" t="s">
        <v>326</v>
      </c>
      <c r="C74" s="815">
        <v>15</v>
      </c>
      <c r="D74" s="832">
        <f t="shared" ref="D74:D80" si="3">IF(B27&gt;=0.1, 15, IF(B27&gt;=0.03, 10, IF(B27&gt;=0.01, 5, 0)))</f>
        <v>0</v>
      </c>
    </row>
    <row r="75" spans="1:5" ht="15" customHeight="1" x14ac:dyDescent="0.25">
      <c r="A75" s="1311"/>
      <c r="B75" s="823" t="s">
        <v>327</v>
      </c>
      <c r="C75" s="815">
        <v>15</v>
      </c>
      <c r="D75" s="832">
        <f t="shared" si="3"/>
        <v>0</v>
      </c>
    </row>
    <row r="76" spans="1:5" ht="15" customHeight="1" x14ac:dyDescent="0.25">
      <c r="A76" s="1311"/>
      <c r="B76" s="823" t="s">
        <v>328</v>
      </c>
      <c r="C76" s="815">
        <v>15</v>
      </c>
      <c r="D76" s="832">
        <f t="shared" si="3"/>
        <v>0</v>
      </c>
    </row>
    <row r="77" spans="1:5" ht="15" customHeight="1" x14ac:dyDescent="0.25">
      <c r="A77" s="1311"/>
      <c r="B77" s="823" t="s">
        <v>329</v>
      </c>
      <c r="C77" s="815">
        <v>15</v>
      </c>
      <c r="D77" s="832">
        <f t="shared" si="3"/>
        <v>0</v>
      </c>
    </row>
    <row r="78" spans="1:5" ht="15" customHeight="1" x14ac:dyDescent="0.25">
      <c r="A78" s="1311"/>
      <c r="B78" s="823" t="s">
        <v>330</v>
      </c>
      <c r="C78" s="815">
        <v>15</v>
      </c>
      <c r="D78" s="832">
        <f t="shared" si="3"/>
        <v>0</v>
      </c>
    </row>
    <row r="79" spans="1:5" ht="15" customHeight="1" x14ac:dyDescent="0.25">
      <c r="A79" s="1311"/>
      <c r="B79" s="823" t="s">
        <v>331</v>
      </c>
      <c r="C79" s="815">
        <v>15</v>
      </c>
      <c r="D79" s="832">
        <f t="shared" si="3"/>
        <v>0</v>
      </c>
    </row>
    <row r="80" spans="1:5" ht="15" customHeight="1" x14ac:dyDescent="0.25">
      <c r="A80" s="1311"/>
      <c r="B80" s="823" t="s">
        <v>410</v>
      </c>
      <c r="C80" s="815">
        <v>15</v>
      </c>
      <c r="D80" s="832">
        <f t="shared" si="3"/>
        <v>0</v>
      </c>
    </row>
    <row r="81" spans="1:4" ht="15.75" customHeight="1" thickBot="1" x14ac:dyDescent="0.3">
      <c r="A81" s="1311"/>
      <c r="B81" s="824" t="s">
        <v>411</v>
      </c>
      <c r="C81" s="816">
        <v>15</v>
      </c>
      <c r="D81" s="832">
        <f>IF(B34&gt;=0.1, 15, IF(B34&gt;=0.03, 10, IF(B34&gt;=0.01, 5, 0)))</f>
        <v>0</v>
      </c>
    </row>
    <row r="82" spans="1:4" ht="15.75" customHeight="1" thickBot="1" x14ac:dyDescent="0.3">
      <c r="A82" s="1312"/>
      <c r="B82" s="1308" t="s">
        <v>126</v>
      </c>
      <c r="C82" s="1309"/>
      <c r="D82" s="170">
        <f>SUM(D73:D81)</f>
        <v>0</v>
      </c>
    </row>
    <row r="83" spans="1:4" ht="15.75" thickBot="1" x14ac:dyDescent="0.3">
      <c r="A83" s="1077" t="s">
        <v>128</v>
      </c>
      <c r="B83" s="1078"/>
      <c r="C83" s="1078"/>
      <c r="D83" s="170">
        <f>SUM(D49,D60,D71,D82)</f>
        <v>0</v>
      </c>
    </row>
  </sheetData>
  <sheetProtection algorithmName="SHA-512" hashValue="s46bu2ZOHqybw4ZiiWo006oz2FdhSp5NV27eSu7ogvw5Olt/1nv/guzPOfga0jkMIONVnMGYxmqefyKSBzpY8Q==" saltValue="mfKWrPt/AswcZagOf53S4g==" spinCount="100000" sheet="1" objects="1" scenarios="1"/>
  <protectedRanges>
    <protectedRange sqref="B15:B23 B26:B34 D15:D23 F15:F23" name="Range1"/>
  </protectedRanges>
  <mergeCells count="21">
    <mergeCell ref="A13:B13"/>
    <mergeCell ref="C13:D13"/>
    <mergeCell ref="E13:F13"/>
    <mergeCell ref="A10:B10"/>
    <mergeCell ref="C10:D10"/>
    <mergeCell ref="E10:F10"/>
    <mergeCell ref="A83:C83"/>
    <mergeCell ref="B82:C82"/>
    <mergeCell ref="A72:A82"/>
    <mergeCell ref="A24:B24"/>
    <mergeCell ref="B39:D39"/>
    <mergeCell ref="A39:A49"/>
    <mergeCell ref="A50:A60"/>
    <mergeCell ref="B49:C49"/>
    <mergeCell ref="B50:D50"/>
    <mergeCell ref="B60:C60"/>
    <mergeCell ref="B61:D61"/>
    <mergeCell ref="B72:D72"/>
    <mergeCell ref="B71:C71"/>
    <mergeCell ref="A61:A71"/>
    <mergeCell ref="A36:B36"/>
  </mergeCells>
  <dataValidations count="1">
    <dataValidation type="decimal" allowBlank="1" showInputMessage="1" showErrorMessage="1" sqref="B15:B23 B26:B34 D15:D34 F15:F34" xr:uid="{FD015095-D9F5-46CA-BE7E-CB0B020A9B0D}">
      <formula1>0</formula1>
      <formula2>1</formula2>
    </dataValidation>
  </dataValidations>
  <hyperlinks>
    <hyperlink ref="D1" location="'Respondent Information'!A1" display="Back to Respondent Information" xr:uid="{70F1837A-7DBE-4876-B8C3-2EDD498CA98F}"/>
  </hyperlinks>
  <pageMargins left="0.7" right="0.7" top="0.75" bottom="0.75" header="0.3" footer="0.3"/>
  <pageSetup scale="63" fitToHeight="0" orientation="landscape" r:id="rId1"/>
  <headerFooter>
    <oddHeader>&amp;C&amp;"Arial,Bold"&amp;14EXHIBIT A-5-a-V3
SUBMISSION REQUIREMENTS AND EVALUATION RESPONSE TEMPLATE</oddHeader>
    <oddFooter>&amp;C&amp;"Arial,Bold"AHCA ITN 010-22/23, Attachment A, Exhibit A-5-a-V3, Page &amp;P of &amp;N</oddFooter>
  </headerFooter>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25D02-6E14-40E5-B48A-C27B23FEC757}">
  <sheetPr codeName="Sheet50">
    <tabColor theme="4" tint="0.39997558519241921"/>
  </sheetPr>
  <dimension ref="A1:I4"/>
  <sheetViews>
    <sheetView zoomScaleNormal="100" workbookViewId="0"/>
  </sheetViews>
  <sheetFormatPr defaultRowHeight="15" x14ac:dyDescent="0.25"/>
  <cols>
    <col min="1" max="1" width="9.140625" customWidth="1"/>
    <col min="8" max="8" width="24.5703125" customWidth="1"/>
    <col min="9" max="9" width="47.28515625" customWidth="1"/>
    <col min="13" max="13" width="14.85546875" customWidth="1"/>
  </cols>
  <sheetData>
    <row r="1" spans="1:9" ht="23.25" x14ac:dyDescent="0.35">
      <c r="A1" s="691" t="s">
        <v>415</v>
      </c>
      <c r="B1" s="706"/>
      <c r="C1" s="706"/>
      <c r="D1" s="706"/>
      <c r="E1" s="706"/>
      <c r="F1" s="706"/>
      <c r="G1" s="706"/>
      <c r="H1" s="706"/>
      <c r="I1" s="691" t="s">
        <v>415</v>
      </c>
    </row>
    <row r="2" spans="1:9" ht="23.25" x14ac:dyDescent="0.35">
      <c r="A2" s="706" t="s">
        <v>416</v>
      </c>
      <c r="B2" s="706"/>
      <c r="C2" s="706"/>
      <c r="D2" s="706"/>
      <c r="E2" s="706"/>
      <c r="F2" s="706"/>
      <c r="G2" s="706"/>
      <c r="H2" s="706"/>
      <c r="I2" s="706" t="s">
        <v>417</v>
      </c>
    </row>
    <row r="4" spans="1:9" x14ac:dyDescent="0.25">
      <c r="A4" s="1083" t="s">
        <v>82</v>
      </c>
      <c r="B4" s="1083"/>
      <c r="C4" s="1083"/>
      <c r="D4" s="1083"/>
    </row>
  </sheetData>
  <sheetProtection algorithmName="SHA-512" hashValue="AFpRiOr8NEy/1ehxFiucIxI2Hmr+X3KI66Z/uYpMcsqEHjkeQLCYbb1i8w/G2mKDrItDzALHavLRZCOWOY8RYQ==" saltValue="tYvs3fZRcqJBrz/H3Of/Jw==" spinCount="100000" sheet="1" objects="1" scenarios="1"/>
  <mergeCells count="1">
    <mergeCell ref="A4:D4"/>
  </mergeCells>
  <hyperlinks>
    <hyperlink ref="A4" location="'Respondent Information'!A1" display="Back to Respondent Information" xr:uid="{8CA6E277-8BB0-458E-B844-343986CA7D35}"/>
  </hyperlinks>
  <pageMargins left="0.7" right="0.7" top="0.75" bottom="0.75" header="0.3" footer="0.3"/>
  <pageSetup orientation="portrait" r:id="rId1"/>
  <headerFooter>
    <oddHeader>&amp;C&amp;"Arial,Bold"&amp;14EXHIBIT A-5-a-V3
SUBMISSION REQUIREMENTS AND EVALUATION RESPONSE TEMPLATE</oddHeader>
    <oddFooter>&amp;C&amp;"Arial,Bold"AHCA ITN 010-22/23, Attachment A, Exhibit A-5-a-V3, Page &amp;P of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1DDB5-E29B-41A8-8855-E7BF13AB9A21}">
  <sheetPr codeName="Sheet51">
    <tabColor theme="4" tint="0.39997558519241921"/>
    <pageSetUpPr fitToPage="1"/>
  </sheetPr>
  <dimension ref="A1:G37"/>
  <sheetViews>
    <sheetView workbookViewId="0"/>
  </sheetViews>
  <sheetFormatPr defaultRowHeight="15" x14ac:dyDescent="0.25"/>
  <cols>
    <col min="1" max="1" width="78.7109375" bestFit="1" customWidth="1"/>
    <col min="2" max="2" width="54.42578125" customWidth="1"/>
    <col min="3" max="3" width="21" customWidth="1"/>
    <col min="4" max="4" width="21.85546875" customWidth="1"/>
    <col min="5" max="5" width="20" customWidth="1"/>
    <col min="6" max="6" width="18.28515625" hidden="1" customWidth="1"/>
    <col min="7" max="7" width="17" customWidth="1"/>
    <col min="8" max="10" width="12.7109375" customWidth="1"/>
  </cols>
  <sheetData>
    <row r="1" spans="1:7" ht="23.25" x14ac:dyDescent="0.35">
      <c r="A1" s="691" t="s">
        <v>418</v>
      </c>
      <c r="B1" s="691"/>
      <c r="D1" s="1055" t="s">
        <v>82</v>
      </c>
      <c r="E1" s="1055"/>
    </row>
    <row r="2" spans="1:7" ht="28.5" x14ac:dyDescent="0.45">
      <c r="A2" s="14"/>
    </row>
    <row r="3" spans="1:7" x14ac:dyDescent="0.25">
      <c r="A3" s="692" t="s">
        <v>84</v>
      </c>
      <c r="B3" s="692" t="s">
        <v>85</v>
      </c>
      <c r="F3" t="s">
        <v>26</v>
      </c>
    </row>
    <row r="4" spans="1:7" x14ac:dyDescent="0.25">
      <c r="A4" s="693" t="s">
        <v>87</v>
      </c>
      <c r="B4" s="179">
        <v>50</v>
      </c>
      <c r="F4" t="s">
        <v>28</v>
      </c>
    </row>
    <row r="5" spans="1:7" x14ac:dyDescent="0.25">
      <c r="A5" s="693" t="s">
        <v>88</v>
      </c>
      <c r="B5" s="179">
        <f>C37</f>
        <v>0</v>
      </c>
      <c r="C5" s="111"/>
      <c r="D5" s="111"/>
      <c r="E5" s="111"/>
      <c r="F5" s="110"/>
      <c r="G5" s="111"/>
    </row>
    <row r="6" spans="1:7" x14ac:dyDescent="0.25">
      <c r="A6" s="413" t="s">
        <v>89</v>
      </c>
      <c r="B6" s="420">
        <f>B5/B4</f>
        <v>0</v>
      </c>
      <c r="C6" s="111"/>
      <c r="D6" s="111"/>
      <c r="E6" s="111"/>
      <c r="F6" s="110"/>
      <c r="G6" s="111"/>
    </row>
    <row r="7" spans="1:7" x14ac:dyDescent="0.25">
      <c r="A7" s="413" t="s">
        <v>135</v>
      </c>
      <c r="B7" s="414">
        <v>50</v>
      </c>
      <c r="C7" s="111"/>
      <c r="D7" s="111"/>
      <c r="E7" s="111"/>
      <c r="F7" s="110"/>
      <c r="G7" s="111"/>
    </row>
    <row r="8" spans="1:7" x14ac:dyDescent="0.25">
      <c r="A8" s="413" t="s">
        <v>419</v>
      </c>
      <c r="B8" s="421">
        <f>B6*B7</f>
        <v>0</v>
      </c>
      <c r="C8" s="111"/>
      <c r="D8" s="111"/>
      <c r="E8" s="111"/>
      <c r="F8" s="110"/>
      <c r="G8" s="111"/>
    </row>
    <row r="9" spans="1:7" ht="15.75" thickBot="1" x14ac:dyDescent="0.3">
      <c r="A9" s="41"/>
      <c r="B9" s="113"/>
      <c r="C9" s="111"/>
      <c r="D9" s="111"/>
      <c r="E9" s="111"/>
      <c r="F9" s="110"/>
      <c r="G9" s="111"/>
    </row>
    <row r="10" spans="1:7" ht="23.25" x14ac:dyDescent="0.35">
      <c r="A10" s="364"/>
      <c r="B10" s="1330" t="s">
        <v>8</v>
      </c>
      <c r="C10" s="1331"/>
    </row>
    <row r="11" spans="1:7" ht="15.75" thickBot="1" x14ac:dyDescent="0.3">
      <c r="A11" s="365" t="s">
        <v>137</v>
      </c>
      <c r="B11" s="1332" t="s">
        <v>66</v>
      </c>
      <c r="C11" s="1333"/>
    </row>
    <row r="12" spans="1:7" ht="33.75" customHeight="1" thickBot="1" x14ac:dyDescent="0.3">
      <c r="A12" s="1334" t="s">
        <v>420</v>
      </c>
      <c r="B12" s="1335"/>
      <c r="C12" s="1336"/>
    </row>
    <row r="13" spans="1:7" ht="15.75" thickBot="1" x14ac:dyDescent="0.3">
      <c r="A13" s="367"/>
      <c r="B13" s="368" t="s">
        <v>138</v>
      </c>
      <c r="C13" s="369" t="s">
        <v>421</v>
      </c>
    </row>
    <row r="14" spans="1:7" x14ac:dyDescent="0.25">
      <c r="A14" s="366" t="s">
        <v>422</v>
      </c>
      <c r="B14" s="487"/>
      <c r="C14" s="535"/>
    </row>
    <row r="15" spans="1:7" x14ac:dyDescent="0.25">
      <c r="A15" s="120" t="s">
        <v>423</v>
      </c>
      <c r="B15" s="487"/>
      <c r="C15" s="535"/>
    </row>
    <row r="16" spans="1:7" x14ac:dyDescent="0.25">
      <c r="A16" s="120" t="s">
        <v>424</v>
      </c>
      <c r="B16" s="487"/>
      <c r="C16" s="535"/>
    </row>
    <row r="17" spans="1:3" x14ac:dyDescent="0.25">
      <c r="A17" s="175" t="s">
        <v>425</v>
      </c>
      <c r="B17" s="487"/>
      <c r="C17" s="535"/>
    </row>
    <row r="18" spans="1:3" x14ac:dyDescent="0.25">
      <c r="A18" s="175" t="s">
        <v>426</v>
      </c>
      <c r="B18" s="487"/>
      <c r="C18" s="535"/>
    </row>
    <row r="19" spans="1:3" x14ac:dyDescent="0.25">
      <c r="A19" s="175" t="s">
        <v>427</v>
      </c>
      <c r="B19" s="487"/>
      <c r="C19" s="535"/>
    </row>
    <row r="20" spans="1:3" x14ac:dyDescent="0.25">
      <c r="A20" s="175" t="s">
        <v>428</v>
      </c>
      <c r="B20" s="487"/>
      <c r="C20" s="535"/>
    </row>
    <row r="21" spans="1:3" x14ac:dyDescent="0.25">
      <c r="A21" s="175" t="s">
        <v>429</v>
      </c>
      <c r="B21" s="697"/>
      <c r="C21" s="536"/>
    </row>
    <row r="22" spans="1:3" ht="15.75" thickBot="1" x14ac:dyDescent="0.3">
      <c r="A22" s="121" t="s">
        <v>430</v>
      </c>
      <c r="B22" s="488"/>
      <c r="C22" s="537"/>
    </row>
    <row r="24" spans="1:3" ht="21" x14ac:dyDescent="0.35">
      <c r="A24" s="297" t="s">
        <v>431</v>
      </c>
    </row>
    <row r="25" spans="1:3" ht="15.75" thickBot="1" x14ac:dyDescent="0.3"/>
    <row r="26" spans="1:3" x14ac:dyDescent="0.25">
      <c r="A26" s="157" t="s">
        <v>148</v>
      </c>
      <c r="B26" s="147" t="s">
        <v>149</v>
      </c>
      <c r="C26" s="148" t="s">
        <v>34</v>
      </c>
    </row>
    <row r="27" spans="1:3" x14ac:dyDescent="0.25">
      <c r="A27" s="366" t="s">
        <v>422</v>
      </c>
      <c r="B27" s="702">
        <v>5</v>
      </c>
      <c r="C27" s="26">
        <f t="shared" ref="C27:C35" si="0">IF(B14="Yes", 5, 0)</f>
        <v>0</v>
      </c>
    </row>
    <row r="28" spans="1:3" x14ac:dyDescent="0.25">
      <c r="A28" s="120" t="s">
        <v>423</v>
      </c>
      <c r="B28" s="702">
        <v>5</v>
      </c>
      <c r="C28" s="26">
        <f t="shared" si="0"/>
        <v>0</v>
      </c>
    </row>
    <row r="29" spans="1:3" x14ac:dyDescent="0.25">
      <c r="A29" s="120" t="s">
        <v>424</v>
      </c>
      <c r="B29" s="702">
        <v>5</v>
      </c>
      <c r="C29" s="26">
        <f t="shared" si="0"/>
        <v>0</v>
      </c>
    </row>
    <row r="30" spans="1:3" x14ac:dyDescent="0.25">
      <c r="A30" s="175" t="s">
        <v>425</v>
      </c>
      <c r="B30" s="702">
        <v>5</v>
      </c>
      <c r="C30" s="26">
        <f t="shared" si="0"/>
        <v>0</v>
      </c>
    </row>
    <row r="31" spans="1:3" x14ac:dyDescent="0.25">
      <c r="A31" s="175" t="s">
        <v>426</v>
      </c>
      <c r="B31" s="702">
        <v>5</v>
      </c>
      <c r="C31" s="26">
        <f t="shared" si="0"/>
        <v>0</v>
      </c>
    </row>
    <row r="32" spans="1:3" ht="15" customHeight="1" x14ac:dyDescent="0.25">
      <c r="A32" s="175" t="s">
        <v>427</v>
      </c>
      <c r="B32" s="702">
        <v>5</v>
      </c>
      <c r="C32" s="26">
        <f t="shared" si="0"/>
        <v>0</v>
      </c>
    </row>
    <row r="33" spans="1:3" ht="15" customHeight="1" x14ac:dyDescent="0.25">
      <c r="A33" s="175" t="s">
        <v>428</v>
      </c>
      <c r="B33" s="702">
        <v>5</v>
      </c>
      <c r="C33" s="26">
        <f t="shared" si="0"/>
        <v>0</v>
      </c>
    </row>
    <row r="34" spans="1:3" ht="15" customHeight="1" x14ac:dyDescent="0.25">
      <c r="A34" s="175" t="s">
        <v>429</v>
      </c>
      <c r="B34" s="702">
        <v>5</v>
      </c>
      <c r="C34" s="26">
        <f t="shared" si="0"/>
        <v>0</v>
      </c>
    </row>
    <row r="35" spans="1:3" ht="15.75" customHeight="1" x14ac:dyDescent="0.25">
      <c r="A35" s="120" t="s">
        <v>430</v>
      </c>
      <c r="B35" s="196">
        <v>5</v>
      </c>
      <c r="C35" s="26">
        <f t="shared" si="0"/>
        <v>0</v>
      </c>
    </row>
    <row r="36" spans="1:3" ht="15.75" customHeight="1" thickBot="1" x14ac:dyDescent="0.3">
      <c r="A36" t="s">
        <v>432</v>
      </c>
      <c r="B36" s="196">
        <v>5</v>
      </c>
      <c r="C36" s="26">
        <f>IF(SUM(C27:C35)=(B4-5), 5, 0)</f>
        <v>0</v>
      </c>
    </row>
    <row r="37" spans="1:3" ht="15.75" customHeight="1" thickBot="1" x14ac:dyDescent="0.3">
      <c r="A37" s="1337" t="s">
        <v>88</v>
      </c>
      <c r="B37" s="1309"/>
      <c r="C37" s="133">
        <f>SUM(C27:C36)</f>
        <v>0</v>
      </c>
    </row>
  </sheetData>
  <sheetProtection algorithmName="SHA-512" hashValue="SGrLN6bC0JXaBip4pK+hlYxeKeWzEvDpTvFblph60+YZW7AxCkSLDYGQuYR0msn6hDJdPqNFq9T/R5EBhmXCtQ==" saltValue="UCCHHlOwnUozYvKTDvdyCQ==" spinCount="100000" sheet="1" objects="1" scenarios="1"/>
  <protectedRanges>
    <protectedRange algorithmName="SHA-512" hashValue="Hi85KIDzZayFtHd4FIOJ+v/wVRCxChWzMMag2ai6m/9kaz9fsZCuxtqVNR8PX79XAAGLzTcfeK9HUEDALRNb+g==" saltValue="9+GkHwmU/DQWAVVcER8QaA==" spinCount="100000" sqref="B14:C22" name="Range1"/>
  </protectedRanges>
  <mergeCells count="5">
    <mergeCell ref="D1:E1"/>
    <mergeCell ref="B10:C10"/>
    <mergeCell ref="B11:C11"/>
    <mergeCell ref="A12:C12"/>
    <mergeCell ref="A37:B37"/>
  </mergeCells>
  <dataValidations count="1">
    <dataValidation type="list" allowBlank="1" showInputMessage="1" showErrorMessage="1" sqref="B14:B22" xr:uid="{6EC55C4B-B14F-41C1-B2BB-FBCFBB33F1FC}">
      <formula1>$F$3:$F$4</formula1>
    </dataValidation>
  </dataValidations>
  <hyperlinks>
    <hyperlink ref="D1:E1" location="'Respondent Information'!A1" display="Back to Respondent Information" xr:uid="{5C1E69C7-4F82-4D56-A015-A4FF51C2D3D6}"/>
  </hyperlinks>
  <pageMargins left="0.7" right="0.7" top="0.75" bottom="0.75" header="0.3" footer="0.3"/>
  <pageSetup scale="62" fitToHeight="0" orientation="landscape" r:id="rId1"/>
  <headerFooter>
    <oddHeader>&amp;C&amp;"Arial,Bold"&amp;14EXHIBIT A-5-a-V3
SUBMISSION REQUIREMENTS AND EVALUATION RESPONSE TEMPLATE</oddHeader>
    <oddFooter>&amp;C&amp;"Arial,Bold"AHCA ITN 010-22/23, Attachment A, Exhibit A-5-a-V3, Page &amp;P of &amp;N</oddFooter>
  </headerFooter>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8777B-7488-4CD3-B7E7-2D17882C4212}">
  <sheetPr codeName="Sheet30">
    <tabColor rgb="FFE8AFE9"/>
  </sheetPr>
  <dimension ref="A1:J3"/>
  <sheetViews>
    <sheetView zoomScaleNormal="100" workbookViewId="0"/>
  </sheetViews>
  <sheetFormatPr defaultRowHeight="15" x14ac:dyDescent="0.25"/>
  <cols>
    <col min="1" max="1" width="9.140625" customWidth="1"/>
    <col min="9" max="9" width="15.85546875" customWidth="1"/>
  </cols>
  <sheetData>
    <row r="1" spans="1:10" ht="23.25" x14ac:dyDescent="0.35">
      <c r="A1" s="691" t="s">
        <v>433</v>
      </c>
      <c r="B1" s="691"/>
      <c r="C1" s="691"/>
      <c r="D1" s="691"/>
      <c r="E1" s="691"/>
      <c r="F1" s="691"/>
      <c r="G1" s="691"/>
      <c r="H1" s="691"/>
      <c r="I1" s="691"/>
      <c r="J1" s="691"/>
    </row>
    <row r="2" spans="1:10" ht="23.25" x14ac:dyDescent="0.35">
      <c r="J2" s="691"/>
    </row>
    <row r="3" spans="1:10" x14ac:dyDescent="0.25">
      <c r="A3" s="1083" t="s">
        <v>82</v>
      </c>
      <c r="B3" s="1083"/>
      <c r="C3" s="1083"/>
      <c r="D3" s="1083"/>
    </row>
  </sheetData>
  <sheetProtection algorithmName="SHA-512" hashValue="cKQFTdGfixAjr1xRULsH6+jySNO9NR1DaerQoAfKd4FbbAQj4tkglVCxaHjeh+HcMF2YlNcfaXAoGl0XGtbz2A==" saltValue="nA/oitZlADIAmdeNwEZHgQ==" spinCount="100000" sheet="1" objects="1" scenarios="1"/>
  <mergeCells count="1">
    <mergeCell ref="A3:D3"/>
  </mergeCells>
  <hyperlinks>
    <hyperlink ref="A3" location="'Respondent Information'!A1" display="Back to Respondent Information" xr:uid="{4C2F8798-64B2-44D9-A379-EEDB6D7E3107}"/>
  </hyperlinks>
  <pageMargins left="0.7" right="0.7" top="0.75" bottom="0.75" header="0.3" footer="0.3"/>
  <pageSetup orientation="portrait" r:id="rId1"/>
  <headerFooter>
    <oddHeader>&amp;C&amp;"Arial,Bold"&amp;14EXHIBIT A-5-a-V3
SUBMISSION REQUIREMENTS AND EVALUATION RESPONSE TEMPLATE</oddHeader>
    <oddFooter>&amp;C&amp;"Arial,Bold"AHCA ITN 010-22/23, Attachment A, Exhibit A-5-a-V3, Page &amp;P of &amp;N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93778-C85B-4AD7-85A6-ED9E710BDEFF}">
  <sheetPr codeName="Sheet31">
    <tabColor rgb="FFE8AFE9"/>
    <pageSetUpPr fitToPage="1"/>
  </sheetPr>
  <dimension ref="A1:R47"/>
  <sheetViews>
    <sheetView workbookViewId="0"/>
  </sheetViews>
  <sheetFormatPr defaultRowHeight="15" x14ac:dyDescent="0.25"/>
  <cols>
    <col min="1" max="1" width="53.28515625" customWidth="1"/>
    <col min="2" max="2" width="22.5703125" customWidth="1"/>
    <col min="3" max="3" width="15.7109375" bestFit="1" customWidth="1"/>
    <col min="4" max="4" width="15.140625" bestFit="1" customWidth="1"/>
    <col min="5" max="5" width="10.85546875" customWidth="1"/>
    <col min="16" max="16" width="8.28515625" customWidth="1"/>
    <col min="17" max="17" width="8.5703125" hidden="1" customWidth="1"/>
    <col min="18" max="18" width="9.140625" hidden="1" customWidth="1"/>
  </cols>
  <sheetData>
    <row r="1" spans="1:18" ht="23.25" x14ac:dyDescent="0.35">
      <c r="A1" s="691" t="s">
        <v>434</v>
      </c>
      <c r="C1" s="1055" t="s">
        <v>82</v>
      </c>
      <c r="D1" s="1055"/>
    </row>
    <row r="3" spans="1:18" x14ac:dyDescent="0.25">
      <c r="A3" s="692" t="s">
        <v>84</v>
      </c>
      <c r="B3" s="692" t="s">
        <v>85</v>
      </c>
    </row>
    <row r="4" spans="1:18" x14ac:dyDescent="0.25">
      <c r="A4" s="142" t="s">
        <v>87</v>
      </c>
      <c r="B4" s="227">
        <v>40</v>
      </c>
    </row>
    <row r="5" spans="1:18" x14ac:dyDescent="0.25">
      <c r="A5" s="142" t="s">
        <v>88</v>
      </c>
      <c r="B5" s="227">
        <f>C42</f>
        <v>0</v>
      </c>
    </row>
    <row r="6" spans="1:18" x14ac:dyDescent="0.25">
      <c r="A6" s="142" t="s">
        <v>89</v>
      </c>
      <c r="B6" s="919">
        <f>B5/B4</f>
        <v>0</v>
      </c>
    </row>
    <row r="7" spans="1:18" x14ac:dyDescent="0.25">
      <c r="A7" s="142" t="s">
        <v>135</v>
      </c>
      <c r="B7" s="142">
        <v>80</v>
      </c>
    </row>
    <row r="8" spans="1:18" x14ac:dyDescent="0.25">
      <c r="A8" s="195" t="s">
        <v>435</v>
      </c>
      <c r="B8" s="195">
        <f>B6*B7</f>
        <v>0</v>
      </c>
    </row>
    <row r="9" spans="1:18" x14ac:dyDescent="0.25">
      <c r="A9" s="142"/>
      <c r="B9" s="142"/>
      <c r="C9" s="111"/>
      <c r="D9" s="111"/>
      <c r="E9" s="111"/>
      <c r="F9" s="110"/>
      <c r="G9" s="110"/>
    </row>
    <row r="10" spans="1:18" x14ac:dyDescent="0.25">
      <c r="A10" s="686" t="s">
        <v>436</v>
      </c>
      <c r="B10" s="686" t="s">
        <v>437</v>
      </c>
      <c r="C10" s="1339" t="s">
        <v>438</v>
      </c>
      <c r="D10" s="1339"/>
      <c r="E10" s="686" t="s">
        <v>439</v>
      </c>
      <c r="F10" s="686" t="s">
        <v>85</v>
      </c>
    </row>
    <row r="11" spans="1:18" x14ac:dyDescent="0.25">
      <c r="A11" s="33" t="s">
        <v>440</v>
      </c>
      <c r="B11" s="548"/>
      <c r="C11" s="1340">
        <v>24</v>
      </c>
      <c r="D11" s="1340"/>
      <c r="E11" s="228">
        <f>SUM(B11/C11)</f>
        <v>0</v>
      </c>
      <c r="F11" s="164">
        <f>IF(E11&gt;0.9999, 40, IF(E11&gt;0.8999, 30, IF(E11&gt;0.7499, 20, IF(E11&gt;0.5999, 10, IF(E11&gt;0.3999, 5, 0)))))</f>
        <v>0</v>
      </c>
    </row>
    <row r="12" spans="1:18" x14ac:dyDescent="0.25">
      <c r="A12" s="1096" t="s">
        <v>441</v>
      </c>
      <c r="B12" s="1096"/>
      <c r="C12" s="1096"/>
      <c r="D12" s="1096"/>
      <c r="E12" s="1096"/>
      <c r="F12" s="1096"/>
    </row>
    <row r="13" spans="1:18" x14ac:dyDescent="0.25">
      <c r="A13" s="1096" t="s">
        <v>442</v>
      </c>
      <c r="B13" s="1096"/>
      <c r="C13" s="1096" t="s">
        <v>443</v>
      </c>
      <c r="D13" s="1096"/>
      <c r="E13" s="1096"/>
      <c r="F13" s="1096"/>
    </row>
    <row r="14" spans="1:18" x14ac:dyDescent="0.25">
      <c r="A14" s="1338" t="s">
        <v>444</v>
      </c>
      <c r="B14" s="1338"/>
      <c r="C14" s="1342"/>
      <c r="D14" s="1343"/>
      <c r="E14" s="1343"/>
      <c r="F14" s="1344"/>
      <c r="Q14">
        <f>IF(C14="Yes", 1, 0)</f>
        <v>0</v>
      </c>
    </row>
    <row r="15" spans="1:18" x14ac:dyDescent="0.25">
      <c r="A15" s="1338" t="s">
        <v>445</v>
      </c>
      <c r="B15" s="1338"/>
      <c r="C15" s="1345"/>
      <c r="D15" s="1346"/>
      <c r="E15" s="1346"/>
      <c r="F15" s="1347"/>
      <c r="Q15">
        <f t="shared" ref="Q15:Q37" si="0">IF(C15="Yes", 1, 0)</f>
        <v>0</v>
      </c>
      <c r="R15" t="s">
        <v>26</v>
      </c>
    </row>
    <row r="16" spans="1:18" x14ac:dyDescent="0.25">
      <c r="A16" s="1338" t="s">
        <v>446</v>
      </c>
      <c r="B16" s="1338"/>
      <c r="C16" s="1345"/>
      <c r="D16" s="1346"/>
      <c r="E16" s="1346"/>
      <c r="F16" s="1347"/>
      <c r="Q16">
        <f t="shared" si="0"/>
        <v>0</v>
      </c>
      <c r="R16" t="s">
        <v>28</v>
      </c>
    </row>
    <row r="17" spans="1:17" x14ac:dyDescent="0.25">
      <c r="A17" s="1338" t="s">
        <v>447</v>
      </c>
      <c r="B17" s="1338"/>
      <c r="C17" s="1345"/>
      <c r="D17" s="1346"/>
      <c r="E17" s="1346"/>
      <c r="F17" s="1347"/>
      <c r="Q17">
        <f t="shared" si="0"/>
        <v>0</v>
      </c>
    </row>
    <row r="18" spans="1:17" x14ac:dyDescent="0.25">
      <c r="A18" s="1338" t="s">
        <v>448</v>
      </c>
      <c r="B18" s="1338"/>
      <c r="C18" s="1345"/>
      <c r="D18" s="1346"/>
      <c r="E18" s="1346"/>
      <c r="F18" s="1347"/>
      <c r="Q18">
        <f t="shared" si="0"/>
        <v>0</v>
      </c>
    </row>
    <row r="19" spans="1:17" x14ac:dyDescent="0.25">
      <c r="A19" s="1338" t="s">
        <v>449</v>
      </c>
      <c r="B19" s="1338"/>
      <c r="C19" s="1345"/>
      <c r="D19" s="1346"/>
      <c r="E19" s="1346"/>
      <c r="F19" s="1347"/>
      <c r="Q19">
        <f t="shared" si="0"/>
        <v>0</v>
      </c>
    </row>
    <row r="20" spans="1:17" x14ac:dyDescent="0.25">
      <c r="A20" s="1338" t="s">
        <v>450</v>
      </c>
      <c r="B20" s="1338"/>
      <c r="C20" s="1345"/>
      <c r="D20" s="1346"/>
      <c r="E20" s="1346"/>
      <c r="F20" s="1347"/>
      <c r="Q20">
        <f t="shared" si="0"/>
        <v>0</v>
      </c>
    </row>
    <row r="21" spans="1:17" x14ac:dyDescent="0.25">
      <c r="A21" s="1338" t="s">
        <v>451</v>
      </c>
      <c r="B21" s="1338"/>
      <c r="C21" s="1345"/>
      <c r="D21" s="1346"/>
      <c r="E21" s="1346"/>
      <c r="F21" s="1347"/>
      <c r="Q21">
        <f t="shared" si="0"/>
        <v>0</v>
      </c>
    </row>
    <row r="22" spans="1:17" x14ac:dyDescent="0.25">
      <c r="A22" s="1338" t="s">
        <v>452</v>
      </c>
      <c r="B22" s="1338"/>
      <c r="C22" s="1345"/>
      <c r="D22" s="1346"/>
      <c r="E22" s="1346"/>
      <c r="F22" s="1347"/>
      <c r="Q22">
        <f t="shared" si="0"/>
        <v>0</v>
      </c>
    </row>
    <row r="23" spans="1:17" x14ac:dyDescent="0.25">
      <c r="A23" s="1338" t="s">
        <v>453</v>
      </c>
      <c r="B23" s="1338"/>
      <c r="C23" s="1345"/>
      <c r="D23" s="1346"/>
      <c r="E23" s="1346"/>
      <c r="F23" s="1347"/>
      <c r="Q23">
        <f t="shared" si="0"/>
        <v>0</v>
      </c>
    </row>
    <row r="24" spans="1:17" x14ac:dyDescent="0.25">
      <c r="A24" s="1338" t="s">
        <v>454</v>
      </c>
      <c r="B24" s="1338"/>
      <c r="C24" s="1345"/>
      <c r="D24" s="1346"/>
      <c r="E24" s="1346"/>
      <c r="F24" s="1347"/>
      <c r="Q24">
        <f t="shared" si="0"/>
        <v>0</v>
      </c>
    </row>
    <row r="25" spans="1:17" x14ac:dyDescent="0.25">
      <c r="A25" s="1338" t="s">
        <v>455</v>
      </c>
      <c r="B25" s="1338"/>
      <c r="C25" s="1345"/>
      <c r="D25" s="1346"/>
      <c r="E25" s="1346"/>
      <c r="F25" s="1347"/>
      <c r="Q25">
        <f t="shared" si="0"/>
        <v>0</v>
      </c>
    </row>
    <row r="26" spans="1:17" x14ac:dyDescent="0.25">
      <c r="A26" s="1338" t="s">
        <v>456</v>
      </c>
      <c r="B26" s="1338"/>
      <c r="C26" s="1345"/>
      <c r="D26" s="1346"/>
      <c r="E26" s="1346"/>
      <c r="F26" s="1347"/>
      <c r="Q26">
        <f t="shared" si="0"/>
        <v>0</v>
      </c>
    </row>
    <row r="27" spans="1:17" x14ac:dyDescent="0.25">
      <c r="A27" s="1338" t="s">
        <v>457</v>
      </c>
      <c r="B27" s="1338"/>
      <c r="C27" s="1345"/>
      <c r="D27" s="1346"/>
      <c r="E27" s="1346"/>
      <c r="F27" s="1347"/>
      <c r="Q27">
        <f t="shared" si="0"/>
        <v>0</v>
      </c>
    </row>
    <row r="28" spans="1:17" x14ac:dyDescent="0.25">
      <c r="A28" s="1338" t="s">
        <v>458</v>
      </c>
      <c r="B28" s="1338"/>
      <c r="C28" s="1345"/>
      <c r="D28" s="1346"/>
      <c r="E28" s="1346"/>
      <c r="F28" s="1347"/>
      <c r="Q28">
        <f t="shared" si="0"/>
        <v>0</v>
      </c>
    </row>
    <row r="29" spans="1:17" x14ac:dyDescent="0.25">
      <c r="A29" s="1338" t="s">
        <v>459</v>
      </c>
      <c r="B29" s="1338"/>
      <c r="C29" s="1345"/>
      <c r="D29" s="1346"/>
      <c r="E29" s="1346"/>
      <c r="F29" s="1347"/>
      <c r="Q29">
        <f t="shared" si="0"/>
        <v>0</v>
      </c>
    </row>
    <row r="30" spans="1:17" x14ac:dyDescent="0.25">
      <c r="A30" s="1338" t="s">
        <v>460</v>
      </c>
      <c r="B30" s="1338"/>
      <c r="C30" s="1345"/>
      <c r="D30" s="1346"/>
      <c r="E30" s="1346"/>
      <c r="F30" s="1347"/>
      <c r="Q30">
        <f t="shared" si="0"/>
        <v>0</v>
      </c>
    </row>
    <row r="31" spans="1:17" x14ac:dyDescent="0.25">
      <c r="A31" s="1338" t="s">
        <v>461</v>
      </c>
      <c r="B31" s="1338"/>
      <c r="C31" s="1345"/>
      <c r="D31" s="1346"/>
      <c r="E31" s="1346"/>
      <c r="F31" s="1347"/>
      <c r="Q31">
        <f t="shared" si="0"/>
        <v>0</v>
      </c>
    </row>
    <row r="32" spans="1:17" x14ac:dyDescent="0.25">
      <c r="A32" s="1338" t="s">
        <v>462</v>
      </c>
      <c r="B32" s="1338"/>
      <c r="C32" s="1345"/>
      <c r="D32" s="1346"/>
      <c r="E32" s="1346"/>
      <c r="F32" s="1347"/>
      <c r="Q32">
        <f t="shared" si="0"/>
        <v>0</v>
      </c>
    </row>
    <row r="33" spans="1:17" x14ac:dyDescent="0.25">
      <c r="A33" s="1338" t="s">
        <v>463</v>
      </c>
      <c r="B33" s="1338"/>
      <c r="C33" s="1345"/>
      <c r="D33" s="1346"/>
      <c r="E33" s="1346"/>
      <c r="F33" s="1347"/>
      <c r="Q33">
        <f t="shared" si="0"/>
        <v>0</v>
      </c>
    </row>
    <row r="34" spans="1:17" x14ac:dyDescent="0.25">
      <c r="A34" s="1338" t="s">
        <v>464</v>
      </c>
      <c r="B34" s="1338"/>
      <c r="C34" s="1345"/>
      <c r="D34" s="1346"/>
      <c r="E34" s="1346"/>
      <c r="F34" s="1347"/>
      <c r="Q34">
        <f t="shared" si="0"/>
        <v>0</v>
      </c>
    </row>
    <row r="35" spans="1:17" x14ac:dyDescent="0.25">
      <c r="A35" s="1338" t="s">
        <v>465</v>
      </c>
      <c r="B35" s="1338"/>
      <c r="C35" s="1345"/>
      <c r="D35" s="1346"/>
      <c r="E35" s="1346"/>
      <c r="F35" s="1347"/>
      <c r="Q35">
        <f t="shared" si="0"/>
        <v>0</v>
      </c>
    </row>
    <row r="36" spans="1:17" x14ac:dyDescent="0.25">
      <c r="A36" s="1338" t="s">
        <v>466</v>
      </c>
      <c r="B36" s="1338"/>
      <c r="C36" s="1345"/>
      <c r="D36" s="1346"/>
      <c r="E36" s="1346"/>
      <c r="F36" s="1347"/>
      <c r="Q36">
        <f t="shared" si="0"/>
        <v>0</v>
      </c>
    </row>
    <row r="37" spans="1:17" x14ac:dyDescent="0.25">
      <c r="A37" s="1341" t="s">
        <v>467</v>
      </c>
      <c r="B37" s="1341"/>
      <c r="C37" s="1348"/>
      <c r="D37" s="1349"/>
      <c r="E37" s="1349"/>
      <c r="F37" s="1350"/>
      <c r="Q37">
        <f t="shared" si="0"/>
        <v>0</v>
      </c>
    </row>
    <row r="38" spans="1:17" x14ac:dyDescent="0.25">
      <c r="Q38">
        <f>SUM(Q14:Q37)</f>
        <v>0</v>
      </c>
    </row>
    <row r="39" spans="1:17" ht="21" x14ac:dyDescent="0.35">
      <c r="A39" s="151" t="s">
        <v>431</v>
      </c>
    </row>
    <row r="41" spans="1:17" x14ac:dyDescent="0.25">
      <c r="A41" s="149" t="s">
        <v>468</v>
      </c>
      <c r="B41" s="150" t="s">
        <v>149</v>
      </c>
      <c r="C41" s="150" t="s">
        <v>34</v>
      </c>
    </row>
    <row r="42" spans="1:17" x14ac:dyDescent="0.25">
      <c r="A42" s="112" t="s">
        <v>469</v>
      </c>
      <c r="B42" s="702">
        <v>0</v>
      </c>
      <c r="C42" s="1351">
        <f>F11</f>
        <v>0</v>
      </c>
    </row>
    <row r="43" spans="1:17" x14ac:dyDescent="0.25">
      <c r="A43" s="112" t="s">
        <v>470</v>
      </c>
      <c r="B43" s="702">
        <v>5</v>
      </c>
      <c r="C43" s="1352"/>
    </row>
    <row r="44" spans="1:17" x14ac:dyDescent="0.25">
      <c r="A44" s="112" t="s">
        <v>471</v>
      </c>
      <c r="B44" s="702">
        <v>10</v>
      </c>
      <c r="C44" s="1352"/>
    </row>
    <row r="45" spans="1:17" x14ac:dyDescent="0.25">
      <c r="A45" s="112" t="s">
        <v>472</v>
      </c>
      <c r="B45" s="702">
        <v>20</v>
      </c>
      <c r="C45" s="1352"/>
    </row>
    <row r="46" spans="1:17" x14ac:dyDescent="0.25">
      <c r="A46" s="112" t="s">
        <v>473</v>
      </c>
      <c r="B46" s="702">
        <v>30</v>
      </c>
      <c r="C46" s="1352"/>
    </row>
    <row r="47" spans="1:17" x14ac:dyDescent="0.25">
      <c r="A47" s="395">
        <v>1</v>
      </c>
      <c r="B47" s="702">
        <v>40</v>
      </c>
      <c r="C47" s="1296"/>
    </row>
  </sheetData>
  <sheetProtection algorithmName="SHA-512" hashValue="bwhaLRWODKErhpnQ3YYtudfDtEncKHaWgI3lzLJ9sDfKSps1qvSojxpWEVKE1bCrW3vyJyfDNRQ8RU1sraYpMw==" saltValue="6+94qgsXlBj9A3kRxvTsLg==" spinCount="100000" sheet="1" objects="1" scenarios="1"/>
  <protectedRanges>
    <protectedRange algorithmName="SHA-512" hashValue="vUPrxmz8RJ9qfh5aVvWszkonNlu+DAofla2BSjdgh9U/wXRztooPXEa85AT941c4SJ2AI5+kVusH7UnPmH7wrA==" saltValue="FiDsNB6NWrBtnXk9CjrC0g==" spinCount="100000" sqref="B11 C14:F37" name="Range1"/>
  </protectedRanges>
  <mergeCells count="55">
    <mergeCell ref="C36:F36"/>
    <mergeCell ref="C37:F37"/>
    <mergeCell ref="A12:F12"/>
    <mergeCell ref="C42:C47"/>
    <mergeCell ref="C31:F31"/>
    <mergeCell ref="C32:F32"/>
    <mergeCell ref="C33:F33"/>
    <mergeCell ref="C34:F34"/>
    <mergeCell ref="C35:F35"/>
    <mergeCell ref="C26:F26"/>
    <mergeCell ref="C27:F27"/>
    <mergeCell ref="C28:F28"/>
    <mergeCell ref="C29:F29"/>
    <mergeCell ref="C30:F30"/>
    <mergeCell ref="A35:B35"/>
    <mergeCell ref="A36:B36"/>
    <mergeCell ref="A37:B37"/>
    <mergeCell ref="C13:F13"/>
    <mergeCell ref="C14:F14"/>
    <mergeCell ref="C15:F15"/>
    <mergeCell ref="C16:F16"/>
    <mergeCell ref="C17:F17"/>
    <mergeCell ref="C18:F18"/>
    <mergeCell ref="C19:F19"/>
    <mergeCell ref="C20:F20"/>
    <mergeCell ref="C21:F21"/>
    <mergeCell ref="C22:F22"/>
    <mergeCell ref="C23:F23"/>
    <mergeCell ref="C24:F24"/>
    <mergeCell ref="C25:F25"/>
    <mergeCell ref="A30:B30"/>
    <mergeCell ref="A31:B31"/>
    <mergeCell ref="A32:B32"/>
    <mergeCell ref="A33:B33"/>
    <mergeCell ref="A34:B34"/>
    <mergeCell ref="A25:B25"/>
    <mergeCell ref="A26:B26"/>
    <mergeCell ref="A27:B27"/>
    <mergeCell ref="A28:B28"/>
    <mergeCell ref="A29:B29"/>
    <mergeCell ref="C10:D10"/>
    <mergeCell ref="C11:D11"/>
    <mergeCell ref="C1:D1"/>
    <mergeCell ref="A13:B13"/>
    <mergeCell ref="A14:B14"/>
    <mergeCell ref="A15:B15"/>
    <mergeCell ref="A16:B16"/>
    <mergeCell ref="A17:B17"/>
    <mergeCell ref="A18:B18"/>
    <mergeCell ref="A19:B19"/>
    <mergeCell ref="A20:B20"/>
    <mergeCell ref="A21:B21"/>
    <mergeCell ref="A22:B22"/>
    <mergeCell ref="A23:B23"/>
    <mergeCell ref="A24:B24"/>
  </mergeCells>
  <dataValidations count="2">
    <dataValidation type="list" allowBlank="1" showInputMessage="1" showErrorMessage="1" sqref="C14:F37" xr:uid="{439596F3-9521-4E5E-B2CA-71A6D46D3499}">
      <formula1>$R$15:$R$16</formula1>
    </dataValidation>
    <dataValidation type="whole" allowBlank="1" showInputMessage="1" showErrorMessage="1" sqref="B11" xr:uid="{18EA66B9-7613-4674-84F8-81A65957CA8C}">
      <formula1>0</formula1>
      <formula2>24</formula2>
    </dataValidation>
  </dataValidations>
  <hyperlinks>
    <hyperlink ref="C1:D1" location="'Respondent Information'!A1" display="Back to Respondent Information" xr:uid="{92ADE7C3-232C-44EA-87EB-2C55CF1DA5CF}"/>
  </hyperlinks>
  <pageMargins left="0.7" right="0.7" top="0.75" bottom="0.75" header="0.3" footer="0.3"/>
  <pageSetup scale="70" orientation="landscape" r:id="rId1"/>
  <headerFooter>
    <oddHeader>&amp;C&amp;"Arial,Bold"&amp;14EXHIBIT A-5-a-V3
SUBMISSION REQUIREMENTS AND EVALUATION RESPONSE TEMPLATE</oddHeader>
    <oddFooter>&amp;C&amp;"Arial,Bold"AHCA ITN 010-22/23, Attachment A, Exhibit A-5-a-V3, Page &amp;P of &amp;N</oddFooter>
  </headerFooter>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4EC17-FD0A-4667-A5A8-0FF378F900B2}">
  <sheetPr codeName="Sheet18">
    <tabColor theme="9" tint="-0.249977111117893"/>
  </sheetPr>
  <dimension ref="A1:J3"/>
  <sheetViews>
    <sheetView zoomScaleNormal="100" workbookViewId="0"/>
  </sheetViews>
  <sheetFormatPr defaultRowHeight="15" x14ac:dyDescent="0.25"/>
  <sheetData>
    <row r="1" spans="1:10" ht="23.25" x14ac:dyDescent="0.35">
      <c r="A1" s="691" t="s">
        <v>474</v>
      </c>
      <c r="B1" s="691"/>
      <c r="C1" s="691"/>
      <c r="D1" s="691"/>
      <c r="E1" s="691"/>
      <c r="F1" s="691"/>
      <c r="G1" s="691"/>
      <c r="H1" s="691"/>
      <c r="I1" s="691"/>
      <c r="J1" s="691" t="s">
        <v>474</v>
      </c>
    </row>
    <row r="2" spans="1:10" ht="23.25" x14ac:dyDescent="0.35">
      <c r="A2" s="691"/>
      <c r="B2" s="691"/>
      <c r="C2" s="691"/>
      <c r="D2" s="691"/>
      <c r="E2" s="691"/>
      <c r="F2" s="691"/>
      <c r="G2" s="691"/>
      <c r="H2" s="691"/>
      <c r="I2" s="691"/>
      <c r="J2" s="691" t="s">
        <v>475</v>
      </c>
    </row>
    <row r="3" spans="1:10" x14ac:dyDescent="0.25">
      <c r="A3" s="1083" t="s">
        <v>82</v>
      </c>
      <c r="B3" s="1083"/>
      <c r="C3" s="1083"/>
      <c r="D3" s="1083"/>
    </row>
  </sheetData>
  <sheetProtection algorithmName="SHA-512" hashValue="horO3ehk/ljDfKhOOlAhZjrKJJtsFcC6f058GQ5HWv4PagqfrZFJ+6O3HqZH2XLZTDOwC6DP2UwOSsBKBGTZjg==" saltValue="QPO7QPBqEsXYijjVURryDQ==" spinCount="100000" sheet="1" objects="1" scenarios="1"/>
  <mergeCells count="1">
    <mergeCell ref="A3:D3"/>
  </mergeCells>
  <hyperlinks>
    <hyperlink ref="A3" location="'Respondent Information'!A1" display="Back to Respondent Information" xr:uid="{D61B6689-D9A4-4520-9D10-AA5BFD0F7390}"/>
  </hyperlinks>
  <pageMargins left="0.7" right="0.7" top="0.75" bottom="0.75" header="0.3" footer="0.3"/>
  <pageSetup orientation="portrait" r:id="rId1"/>
  <headerFooter>
    <oddHeader>&amp;C&amp;"Arial,Bold"&amp;14EXHIBIT A-5-a-V3
SUBMISSION REQUIREMENTS AND EVALUATION RESPONSE TEMPLATE</oddHeader>
    <oddFooter>&amp;C&amp;"Arial,Bold"AHCA ITN 010-22/23, Attachment A, Exhibit A-5-a-V3, Page &amp;P of &amp;N</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AD934-7C38-469D-A587-4699B7F6BC86}">
  <sheetPr codeName="Sheet15">
    <tabColor theme="9" tint="-0.249977111117893"/>
    <pageSetUpPr fitToPage="1"/>
  </sheetPr>
  <dimension ref="A1:HM235"/>
  <sheetViews>
    <sheetView zoomScaleNormal="100" workbookViewId="0">
      <pane ySplit="10" topLeftCell="A11" activePane="bottomLeft" state="frozen"/>
      <selection sqref="A1:I2"/>
      <selection pane="bottomLeft"/>
    </sheetView>
  </sheetViews>
  <sheetFormatPr defaultRowHeight="15" x14ac:dyDescent="0.25"/>
  <cols>
    <col min="1" max="1" width="47.28515625" customWidth="1"/>
    <col min="2" max="2" width="40.85546875" customWidth="1"/>
    <col min="3" max="3" width="23.140625" customWidth="1"/>
    <col min="4" max="4" width="51" customWidth="1"/>
    <col min="5" max="5" width="53.28515625" customWidth="1"/>
    <col min="6" max="6" width="22.28515625" customWidth="1"/>
    <col min="7" max="7" width="16.42578125" customWidth="1"/>
    <col min="8" max="8" width="45.85546875" bestFit="1" customWidth="1"/>
    <col min="9" max="9" width="47.28515625" customWidth="1"/>
    <col min="10" max="10" width="17.28515625" customWidth="1"/>
    <col min="11" max="11" width="22.5703125" customWidth="1"/>
    <col min="12" max="12" width="22.85546875" customWidth="1"/>
    <col min="13" max="13" width="12.7109375" customWidth="1"/>
    <col min="14" max="14" width="10.5703125" customWidth="1"/>
    <col min="15" max="15" width="35" customWidth="1"/>
    <col min="16" max="16" width="10" customWidth="1"/>
    <col min="17" max="17" width="12.7109375" customWidth="1"/>
    <col min="18" max="18" width="11" customWidth="1"/>
    <col min="19" max="19" width="11.28515625" customWidth="1"/>
    <col min="20" max="20" width="26" customWidth="1"/>
    <col min="21" max="36" width="9.140625" hidden="1" customWidth="1"/>
    <col min="37" max="37" width="40.85546875" hidden="1" customWidth="1"/>
    <col min="38" max="38" width="9.140625" hidden="1" customWidth="1"/>
    <col min="39" max="39" width="29" hidden="1" customWidth="1"/>
    <col min="40" max="40" width="26.140625" hidden="1" customWidth="1"/>
    <col min="41" max="41" width="49.28515625" hidden="1" customWidth="1"/>
    <col min="42" max="187" width="9.140625" hidden="1" customWidth="1"/>
    <col min="188" max="188" width="14.42578125" hidden="1" customWidth="1"/>
    <col min="189" max="191" width="9.140625" hidden="1" customWidth="1"/>
    <col min="192" max="201" width="0" hidden="1" customWidth="1"/>
    <col min="209" max="231" width="0" hidden="1" customWidth="1"/>
  </cols>
  <sheetData>
    <row r="1" spans="1:221" ht="28.5" x14ac:dyDescent="0.45">
      <c r="A1" s="691" t="s">
        <v>476</v>
      </c>
      <c r="D1" s="643" t="s">
        <v>82</v>
      </c>
      <c r="AF1" s="1355"/>
      <c r="AG1" s="1355"/>
      <c r="AH1" s="1355"/>
      <c r="AI1" s="1355"/>
      <c r="AJ1" s="1355"/>
      <c r="AK1" s="1355"/>
      <c r="AM1" s="688"/>
      <c r="AN1" s="688"/>
      <c r="AO1" s="688"/>
    </row>
    <row r="2" spans="1:221" ht="15.75" customHeight="1" x14ac:dyDescent="0.25">
      <c r="AF2" s="418"/>
      <c r="AG2" s="418"/>
      <c r="AH2" s="418"/>
      <c r="AI2" s="418"/>
      <c r="AJ2" s="418"/>
      <c r="AK2" s="418"/>
      <c r="AM2" s="16"/>
    </row>
    <row r="3" spans="1:221" ht="15.75" customHeight="1" x14ac:dyDescent="0.25">
      <c r="A3" s="152" t="s">
        <v>84</v>
      </c>
      <c r="B3" s="153" t="s">
        <v>85</v>
      </c>
      <c r="D3" s="643" t="s">
        <v>158</v>
      </c>
      <c r="AF3" s="418"/>
      <c r="AG3" s="418"/>
      <c r="AH3" s="418"/>
      <c r="AI3" s="418"/>
      <c r="AJ3" s="418"/>
      <c r="AK3" s="418"/>
      <c r="AM3" s="16"/>
    </row>
    <row r="4" spans="1:221" ht="15.75" customHeight="1" x14ac:dyDescent="0.25">
      <c r="A4" s="693" t="s">
        <v>87</v>
      </c>
      <c r="B4" s="179">
        <v>148</v>
      </c>
      <c r="AF4" s="418"/>
      <c r="AG4" s="418"/>
      <c r="AH4" s="418"/>
      <c r="AI4" s="418"/>
      <c r="AJ4" s="418"/>
      <c r="AK4" s="418"/>
      <c r="AM4" s="16"/>
    </row>
    <row r="5" spans="1:221" x14ac:dyDescent="0.25">
      <c r="A5" s="693" t="s">
        <v>88</v>
      </c>
      <c r="B5" s="179">
        <f>C182</f>
        <v>0</v>
      </c>
      <c r="AF5" s="418"/>
      <c r="AG5" s="418"/>
      <c r="AH5" s="418"/>
      <c r="AI5" s="418"/>
      <c r="AJ5" s="418"/>
      <c r="AK5" s="418"/>
      <c r="AM5" s="16"/>
    </row>
    <row r="6" spans="1:221" x14ac:dyDescent="0.25">
      <c r="A6" s="693" t="s">
        <v>89</v>
      </c>
      <c r="B6" s="420">
        <f>B5/B4</f>
        <v>0</v>
      </c>
      <c r="AF6" s="418"/>
      <c r="AG6" s="418"/>
      <c r="AH6" s="418"/>
      <c r="AI6" s="418"/>
      <c r="AJ6" s="418"/>
      <c r="AK6" s="418"/>
      <c r="AM6" s="16"/>
    </row>
    <row r="7" spans="1:221" x14ac:dyDescent="0.25">
      <c r="A7" s="693" t="s">
        <v>135</v>
      </c>
      <c r="B7" s="693">
        <v>300</v>
      </c>
      <c r="AF7" s="418"/>
      <c r="AG7" s="418"/>
      <c r="AH7" s="418"/>
      <c r="AI7" s="418"/>
      <c r="AJ7" s="418"/>
      <c r="AK7" s="418"/>
      <c r="AM7" s="16"/>
    </row>
    <row r="8" spans="1:221" x14ac:dyDescent="0.25">
      <c r="A8" s="693" t="s">
        <v>477</v>
      </c>
      <c r="B8" s="426">
        <f>B6*B7</f>
        <v>0</v>
      </c>
      <c r="AF8" s="418"/>
      <c r="AG8" s="418"/>
      <c r="AH8" s="418"/>
      <c r="AI8" s="418"/>
      <c r="AJ8" s="418"/>
      <c r="AK8" s="418"/>
      <c r="AM8" s="16"/>
    </row>
    <row r="9" spans="1:221" ht="30" x14ac:dyDescent="0.25">
      <c r="AF9" s="418"/>
      <c r="AG9" s="418"/>
      <c r="AH9" s="418"/>
      <c r="AI9" s="418" t="s">
        <v>478</v>
      </c>
      <c r="AJ9" s="418" t="s">
        <v>479</v>
      </c>
      <c r="AK9" s="418" t="s">
        <v>480</v>
      </c>
      <c r="AL9" s="418" t="s">
        <v>481</v>
      </c>
      <c r="AM9" s="418" t="s">
        <v>482</v>
      </c>
      <c r="AN9" s="418" t="s">
        <v>483</v>
      </c>
      <c r="AO9" s="418" t="s">
        <v>484</v>
      </c>
      <c r="AP9" s="418" t="s">
        <v>485</v>
      </c>
      <c r="AQ9" s="418" t="s">
        <v>486</v>
      </c>
      <c r="AR9" s="418" t="s">
        <v>487</v>
      </c>
      <c r="AS9" s="418" t="s">
        <v>488</v>
      </c>
      <c r="AT9" s="418" t="s">
        <v>489</v>
      </c>
      <c r="AU9" s="418" t="s">
        <v>490</v>
      </c>
      <c r="AV9" s="418" t="s">
        <v>491</v>
      </c>
      <c r="AW9" s="418" t="s">
        <v>492</v>
      </c>
      <c r="AX9" s="418" t="s">
        <v>493</v>
      </c>
      <c r="AY9" s="418" t="s">
        <v>494</v>
      </c>
      <c r="AZ9" s="418" t="s">
        <v>495</v>
      </c>
      <c r="BA9" s="418" t="s">
        <v>496</v>
      </c>
      <c r="BB9" s="418" t="s">
        <v>497</v>
      </c>
      <c r="BC9" s="418" t="s">
        <v>498</v>
      </c>
      <c r="BD9" s="418" t="s">
        <v>499</v>
      </c>
      <c r="BE9" s="418" t="s">
        <v>500</v>
      </c>
      <c r="BF9" s="418" t="s">
        <v>501</v>
      </c>
      <c r="BG9" s="418" t="s">
        <v>502</v>
      </c>
      <c r="BH9" s="418" t="s">
        <v>503</v>
      </c>
      <c r="BI9" s="418" t="s">
        <v>504</v>
      </c>
      <c r="BJ9" s="418" t="s">
        <v>505</v>
      </c>
      <c r="BK9" s="418" t="s">
        <v>506</v>
      </c>
      <c r="BL9" s="418" t="s">
        <v>507</v>
      </c>
      <c r="BM9" s="418" t="s">
        <v>508</v>
      </c>
      <c r="BN9" s="418" t="s">
        <v>509</v>
      </c>
      <c r="BO9" s="418" t="s">
        <v>510</v>
      </c>
      <c r="BP9" s="418" t="s">
        <v>511</v>
      </c>
      <c r="BQ9" s="418" t="s">
        <v>512</v>
      </c>
      <c r="BR9" s="418" t="s">
        <v>513</v>
      </c>
      <c r="BS9" s="418" t="s">
        <v>514</v>
      </c>
      <c r="BT9" s="418" t="s">
        <v>515</v>
      </c>
      <c r="BU9" s="418" t="s">
        <v>516</v>
      </c>
      <c r="BV9" s="418" t="s">
        <v>517</v>
      </c>
      <c r="BW9" s="418" t="s">
        <v>518</v>
      </c>
      <c r="BX9" s="418" t="s">
        <v>519</v>
      </c>
      <c r="BY9" s="418" t="s">
        <v>520</v>
      </c>
      <c r="BZ9" s="418" t="s">
        <v>521</v>
      </c>
      <c r="CA9" s="418" t="s">
        <v>522</v>
      </c>
      <c r="CB9" s="418" t="s">
        <v>523</v>
      </c>
      <c r="CC9" s="418" t="s">
        <v>524</v>
      </c>
      <c r="CD9" s="418" t="s">
        <v>525</v>
      </c>
      <c r="CE9" s="418" t="s">
        <v>526</v>
      </c>
      <c r="CF9" s="418" t="s">
        <v>527</v>
      </c>
      <c r="CG9" s="418" t="s">
        <v>528</v>
      </c>
      <c r="CH9" s="418" t="s">
        <v>529</v>
      </c>
      <c r="CI9" s="418" t="s">
        <v>530</v>
      </c>
      <c r="CJ9" s="418" t="s">
        <v>531</v>
      </c>
      <c r="CK9" s="418" t="s">
        <v>532</v>
      </c>
      <c r="CL9" s="418" t="s">
        <v>533</v>
      </c>
      <c r="CM9" s="418" t="s">
        <v>534</v>
      </c>
      <c r="CN9" s="418" t="s">
        <v>535</v>
      </c>
      <c r="CO9" s="418" t="s">
        <v>536</v>
      </c>
      <c r="CP9" s="418" t="s">
        <v>537</v>
      </c>
      <c r="CQ9" s="418" t="s">
        <v>538</v>
      </c>
      <c r="CR9" s="418" t="s">
        <v>539</v>
      </c>
      <c r="CS9" s="418" t="s">
        <v>540</v>
      </c>
      <c r="CT9" s="418" t="s">
        <v>541</v>
      </c>
      <c r="CU9" s="418" t="s">
        <v>542</v>
      </c>
      <c r="CV9" s="418" t="s">
        <v>543</v>
      </c>
      <c r="CW9" s="418" t="s">
        <v>544</v>
      </c>
      <c r="CX9" s="418" t="s">
        <v>545</v>
      </c>
      <c r="CY9" s="418" t="s">
        <v>546</v>
      </c>
      <c r="CZ9" s="418" t="s">
        <v>547</v>
      </c>
      <c r="DA9" s="418" t="s">
        <v>548</v>
      </c>
      <c r="DB9" s="418" t="s">
        <v>549</v>
      </c>
      <c r="DC9" s="418" t="s">
        <v>550</v>
      </c>
      <c r="DD9" s="418" t="s">
        <v>551</v>
      </c>
      <c r="DE9" s="418" t="s">
        <v>552</v>
      </c>
      <c r="DF9" s="418" t="s">
        <v>553</v>
      </c>
      <c r="DG9" s="418" t="s">
        <v>554</v>
      </c>
      <c r="DH9" s="418" t="s">
        <v>555</v>
      </c>
      <c r="DI9" s="418" t="s">
        <v>556</v>
      </c>
      <c r="DJ9" s="418" t="s">
        <v>557</v>
      </c>
      <c r="DK9" s="418" t="s">
        <v>558</v>
      </c>
      <c r="DL9" s="418" t="s">
        <v>559</v>
      </c>
      <c r="DM9" s="418" t="s">
        <v>560</v>
      </c>
      <c r="DN9" s="418" t="s">
        <v>561</v>
      </c>
      <c r="DO9" s="418" t="s">
        <v>562</v>
      </c>
      <c r="DP9" s="418" t="s">
        <v>563</v>
      </c>
      <c r="DQ9" s="418" t="s">
        <v>564</v>
      </c>
      <c r="DR9" s="418" t="s">
        <v>565</v>
      </c>
      <c r="DS9" s="418" t="s">
        <v>566</v>
      </c>
      <c r="DT9" s="418" t="s">
        <v>567</v>
      </c>
      <c r="DU9" s="418" t="s">
        <v>568</v>
      </c>
      <c r="DV9" s="418" t="s">
        <v>569</v>
      </c>
      <c r="DW9" s="418" t="s">
        <v>570</v>
      </c>
      <c r="DX9" s="418" t="s">
        <v>571</v>
      </c>
      <c r="DY9" s="418" t="s">
        <v>572</v>
      </c>
      <c r="DZ9" s="418" t="s">
        <v>573</v>
      </c>
      <c r="EA9" s="418" t="s">
        <v>574</v>
      </c>
      <c r="EB9" s="418" t="s">
        <v>575</v>
      </c>
      <c r="EC9" s="418" t="s">
        <v>576</v>
      </c>
      <c r="ED9" s="418" t="s">
        <v>577</v>
      </c>
      <c r="EE9" s="418" t="s">
        <v>578</v>
      </c>
      <c r="EF9" s="418" t="s">
        <v>579</v>
      </c>
      <c r="EG9" s="418" t="s">
        <v>580</v>
      </c>
      <c r="EH9" s="418" t="s">
        <v>581</v>
      </c>
      <c r="EI9" s="418" t="s">
        <v>582</v>
      </c>
      <c r="EJ9" s="418" t="s">
        <v>583</v>
      </c>
      <c r="EK9" s="418" t="s">
        <v>584</v>
      </c>
      <c r="EL9" s="418" t="s">
        <v>585</v>
      </c>
      <c r="EM9" s="418" t="s">
        <v>586</v>
      </c>
      <c r="EN9" s="418" t="s">
        <v>587</v>
      </c>
      <c r="EO9" s="418" t="s">
        <v>588</v>
      </c>
      <c r="EP9" s="418" t="s">
        <v>589</v>
      </c>
      <c r="EQ9" s="418" t="s">
        <v>590</v>
      </c>
      <c r="ER9" s="418" t="s">
        <v>591</v>
      </c>
      <c r="ES9" s="418" t="s">
        <v>592</v>
      </c>
      <c r="ET9" s="418" t="s">
        <v>593</v>
      </c>
      <c r="EU9" s="418" t="s">
        <v>594</v>
      </c>
      <c r="EV9" s="418" t="s">
        <v>595</v>
      </c>
      <c r="EW9" s="418" t="s">
        <v>596</v>
      </c>
      <c r="EX9" s="418" t="s">
        <v>597</v>
      </c>
      <c r="EY9" s="418" t="s">
        <v>598</v>
      </c>
      <c r="EZ9" s="418" t="s">
        <v>599</v>
      </c>
      <c r="FA9" s="418" t="s">
        <v>600</v>
      </c>
      <c r="FB9" s="418" t="s">
        <v>601</v>
      </c>
      <c r="FC9" s="418" t="s">
        <v>602</v>
      </c>
      <c r="FD9" s="418" t="s">
        <v>603</v>
      </c>
      <c r="FE9" s="418" t="s">
        <v>604</v>
      </c>
      <c r="FF9" s="418" t="s">
        <v>605</v>
      </c>
      <c r="FG9" s="418" t="s">
        <v>606</v>
      </c>
      <c r="FH9" s="418" t="s">
        <v>607</v>
      </c>
      <c r="FI9" s="418" t="s">
        <v>608</v>
      </c>
      <c r="FJ9" s="418" t="s">
        <v>609</v>
      </c>
      <c r="FK9" s="418" t="s">
        <v>610</v>
      </c>
      <c r="FL9" s="418" t="s">
        <v>611</v>
      </c>
      <c r="FM9" s="418" t="s">
        <v>612</v>
      </c>
      <c r="FN9" s="418" t="s">
        <v>613</v>
      </c>
      <c r="FO9" s="418" t="s">
        <v>614</v>
      </c>
      <c r="FP9" s="418" t="s">
        <v>615</v>
      </c>
      <c r="FQ9" s="418" t="s">
        <v>616</v>
      </c>
      <c r="FR9" s="418" t="s">
        <v>617</v>
      </c>
      <c r="FS9" s="418" t="s">
        <v>618</v>
      </c>
      <c r="FT9" s="418" t="s">
        <v>619</v>
      </c>
      <c r="FU9" s="418" t="s">
        <v>620</v>
      </c>
      <c r="FV9" s="418" t="s">
        <v>621</v>
      </c>
      <c r="FW9" s="418" t="s">
        <v>622</v>
      </c>
      <c r="FX9" s="418" t="s">
        <v>623</v>
      </c>
      <c r="FY9" s="418" t="s">
        <v>624</v>
      </c>
      <c r="FZ9" s="418" t="s">
        <v>625</v>
      </c>
      <c r="GA9" s="418" t="s">
        <v>626</v>
      </c>
      <c r="GB9" s="418" t="s">
        <v>627</v>
      </c>
      <c r="GC9" s="418" t="s">
        <v>628</v>
      </c>
      <c r="GD9" s="418"/>
      <c r="GE9" s="418"/>
      <c r="GF9" s="418"/>
      <c r="GG9" s="418" t="s">
        <v>629</v>
      </c>
      <c r="GH9" s="418"/>
      <c r="GI9" s="418"/>
      <c r="GJ9" s="418"/>
      <c r="GK9" s="418"/>
      <c r="GL9" s="418"/>
      <c r="GM9" s="418"/>
      <c r="GN9" s="418"/>
      <c r="GO9" s="418"/>
      <c r="GP9" s="418"/>
      <c r="GQ9" s="418"/>
      <c r="GR9" s="418"/>
      <c r="GS9" s="418"/>
      <c r="GT9" s="418"/>
      <c r="GU9" s="418"/>
      <c r="GV9" s="418"/>
      <c r="GW9" s="418"/>
      <c r="GX9" s="418"/>
      <c r="GY9" s="418"/>
      <c r="GZ9" s="418"/>
      <c r="HA9" s="418"/>
      <c r="HB9" s="418"/>
      <c r="HC9" s="418"/>
      <c r="HD9" s="418"/>
      <c r="HE9" s="418"/>
      <c r="HF9" s="418"/>
      <c r="HG9" s="418"/>
      <c r="HH9" s="418"/>
      <c r="HI9" s="418"/>
      <c r="HJ9" s="418"/>
      <c r="HK9" s="418"/>
      <c r="HL9" s="418"/>
      <c r="HM9" s="418"/>
    </row>
    <row r="10" spans="1:221" ht="46.5" customHeight="1" x14ac:dyDescent="0.25">
      <c r="A10" s="18" t="s">
        <v>630</v>
      </c>
      <c r="B10" s="18" t="s">
        <v>631</v>
      </c>
      <c r="C10" s="18" t="s">
        <v>632</v>
      </c>
      <c r="D10" s="18" t="s">
        <v>633</v>
      </c>
      <c r="E10" s="18" t="s">
        <v>634</v>
      </c>
      <c r="F10" s="18" t="s">
        <v>635</v>
      </c>
      <c r="G10" s="18" t="s">
        <v>636</v>
      </c>
      <c r="H10" s="18" t="s">
        <v>637</v>
      </c>
      <c r="I10" s="18" t="s">
        <v>638</v>
      </c>
      <c r="J10" s="18" t="s">
        <v>639</v>
      </c>
      <c r="K10" s="18" t="s">
        <v>640</v>
      </c>
      <c r="L10" s="18" t="s">
        <v>641</v>
      </c>
      <c r="M10" s="18" t="s">
        <v>642</v>
      </c>
      <c r="N10" s="18" t="s">
        <v>643</v>
      </c>
      <c r="O10" s="18" t="s">
        <v>644</v>
      </c>
      <c r="P10" s="18" t="s">
        <v>645</v>
      </c>
      <c r="Q10" s="18" t="s">
        <v>646</v>
      </c>
      <c r="R10" s="18" t="s">
        <v>647</v>
      </c>
      <c r="S10" s="18" t="s">
        <v>648</v>
      </c>
      <c r="T10" s="18" t="s">
        <v>649</v>
      </c>
      <c r="U10" s="23" t="s">
        <v>650</v>
      </c>
      <c r="V10" s="23" t="s">
        <v>651</v>
      </c>
      <c r="X10" s="24" t="s">
        <v>652</v>
      </c>
      <c r="Y10" s="24" t="s">
        <v>653</v>
      </c>
      <c r="Z10" s="24" t="s">
        <v>654</v>
      </c>
      <c r="AA10" s="24" t="s">
        <v>655</v>
      </c>
      <c r="AB10" s="24"/>
      <c r="AC10" s="25"/>
      <c r="AD10" s="25"/>
      <c r="AE10" t="s">
        <v>656</v>
      </c>
      <c r="AF10" s="48" t="s">
        <v>657</v>
      </c>
      <c r="AG10" s="48"/>
      <c r="AH10" s="48"/>
      <c r="AI10" s="48">
        <f t="shared" ref="AI10:AI41" si="0">IF(ISNUMBER(SEARCH(AF10,$O$11)),1,0)</f>
        <v>0</v>
      </c>
      <c r="AJ10" s="48">
        <f t="shared" ref="AJ10:AJ41" si="1">IF(ISNUMBER(SEARCH(AF10,$O$12)),1,0)</f>
        <v>0</v>
      </c>
      <c r="AK10" s="48">
        <f t="shared" ref="AK10:AK41" si="2">IF(ISNUMBER(SEARCH($AF10,$O$13)),1,0)</f>
        <v>0</v>
      </c>
      <c r="AL10" s="48">
        <f t="shared" ref="AL10:AL41" si="3">IF(ISNUMBER(SEARCH($AF10,$O$14)),1,0)</f>
        <v>0</v>
      </c>
      <c r="AM10" s="48">
        <f t="shared" ref="AM10:AM41" si="4">IF(ISNUMBER(SEARCH($AF10,$O$15)),1,0)</f>
        <v>0</v>
      </c>
      <c r="AN10" s="48">
        <f t="shared" ref="AN10:AN41" si="5">IF(ISNUMBER(SEARCH($AF10,$O$16)),1,0)</f>
        <v>0</v>
      </c>
      <c r="AO10" s="48">
        <f t="shared" ref="AO10:AO41" si="6">IF(ISNUMBER(SEARCH($AF10,$O$17)),1,0)</f>
        <v>0</v>
      </c>
      <c r="AP10" s="48">
        <f t="shared" ref="AP10:AP41" si="7">IF(ISNUMBER(SEARCH($AF10,$O$18)),1,0)</f>
        <v>0</v>
      </c>
      <c r="AQ10" s="48">
        <f t="shared" ref="AQ10:AQ41" si="8">IF(ISNUMBER(SEARCH($AF10,$O$19)),1,0)</f>
        <v>0</v>
      </c>
      <c r="AR10" s="48">
        <f t="shared" ref="AR10:AR41" si="9">IF(ISNUMBER(SEARCH($AF10,$O$20)),1,0)</f>
        <v>0</v>
      </c>
      <c r="AS10" s="48">
        <f t="shared" ref="AS10:AS41" si="10">IF(ISNUMBER(SEARCH($AF10,$O$21)),1,0)</f>
        <v>0</v>
      </c>
      <c r="AT10" s="48">
        <f t="shared" ref="AT10:AT41" si="11">IF(ISNUMBER(SEARCH($AF10,$O$22)),1,0)</f>
        <v>0</v>
      </c>
      <c r="AU10" s="48">
        <f t="shared" ref="AU10:AU41" si="12">IF(ISNUMBER(SEARCH($AF10,$O$23)),1,0)</f>
        <v>0</v>
      </c>
      <c r="AV10" s="48">
        <f t="shared" ref="AV10:AV41" si="13">IF(ISNUMBER(SEARCH($AF10,$O$24)),1,0)</f>
        <v>0</v>
      </c>
      <c r="AW10" s="48">
        <f t="shared" ref="AW10:AW41" si="14">IF(ISNUMBER(SEARCH($AF10,$O$25)),1,0)</f>
        <v>0</v>
      </c>
      <c r="AX10" s="48">
        <f t="shared" ref="AX10:AX41" si="15">IF(ISNUMBER(SEARCH($AF10,$O$26)),1,0)</f>
        <v>0</v>
      </c>
      <c r="AY10" s="48">
        <f t="shared" ref="AY10:AY41" si="16">IF(ISNUMBER(SEARCH($AF10,$O$27)),1,0)</f>
        <v>0</v>
      </c>
      <c r="AZ10" s="48">
        <f t="shared" ref="AZ10:AZ41" si="17">IF(ISNUMBER(SEARCH($AF10,$O$28)),1,0)</f>
        <v>0</v>
      </c>
      <c r="BA10" s="48">
        <f t="shared" ref="BA10:BA41" si="18">IF(ISNUMBER(SEARCH($AF10,$O$29)),1,0)</f>
        <v>0</v>
      </c>
      <c r="BB10" s="48">
        <f t="shared" ref="BB10:BB41" si="19">IF(ISNUMBER(SEARCH($AF10,$O$30)),1,0)</f>
        <v>0</v>
      </c>
      <c r="BC10" s="48">
        <f t="shared" ref="BC10:BC41" si="20">IF(ISNUMBER(SEARCH($AF10,$O$31)),1,0)</f>
        <v>0</v>
      </c>
      <c r="BD10" s="48">
        <f t="shared" ref="BD10:BD41" si="21">IF(ISNUMBER(SEARCH($AF10,$O$32)),1,0)</f>
        <v>0</v>
      </c>
      <c r="BE10" s="48">
        <f t="shared" ref="BE10:BE41" si="22">IF(ISNUMBER(SEARCH($AF10,$O$33)),1,0)</f>
        <v>0</v>
      </c>
      <c r="BF10" s="48">
        <f t="shared" ref="BF10:BF41" si="23">IF(ISNUMBER(SEARCH($AF10,$O$34)),1,0)</f>
        <v>0</v>
      </c>
      <c r="BG10" s="48">
        <f t="shared" ref="BG10:BG41" si="24">IF(ISNUMBER(SEARCH($AF10,$O$35)),1,0)</f>
        <v>0</v>
      </c>
      <c r="BH10" s="48">
        <f t="shared" ref="BH10:BH41" si="25">IF(ISNUMBER(SEARCH($AF10,$O$36)),1,0)</f>
        <v>0</v>
      </c>
      <c r="BI10" s="48">
        <f t="shared" ref="BI10:BI41" si="26">IF(ISNUMBER(SEARCH($AF10,$O$37)),1,0)</f>
        <v>0</v>
      </c>
      <c r="BJ10" s="48">
        <f t="shared" ref="BJ10:BJ41" si="27">IF(ISNUMBER(SEARCH($AF10,$O$38)),1,0)</f>
        <v>0</v>
      </c>
      <c r="BK10" s="48">
        <f t="shared" ref="BK10:BK41" si="28">IF(ISNUMBER(SEARCH($AF10,$O$39)),1,0)</f>
        <v>0</v>
      </c>
      <c r="BL10" s="48">
        <f t="shared" ref="BL10:BL41" si="29">IF(ISNUMBER(SEARCH($AF10,$O$40)),1,0)</f>
        <v>0</v>
      </c>
      <c r="BM10" s="48">
        <f t="shared" ref="BM10:BM41" si="30">IF(ISNUMBER(SEARCH($AF10,$O$41)),1,0)</f>
        <v>0</v>
      </c>
      <c r="BN10" s="48">
        <f t="shared" ref="BN10:BN41" si="31">IF(ISNUMBER(SEARCH($AF10,$O$42)),1,0)</f>
        <v>0</v>
      </c>
      <c r="BO10" s="48">
        <f t="shared" ref="BO10:BO41" si="32">IF(ISNUMBER(SEARCH($AF10,$O$43)),1,0)</f>
        <v>0</v>
      </c>
      <c r="BP10" s="48">
        <f t="shared" ref="BP10:BP41" si="33">IF(ISNUMBER(SEARCH($AF10,$O$44)),1,0)</f>
        <v>0</v>
      </c>
      <c r="BQ10" s="48">
        <f t="shared" ref="BQ10:BQ41" si="34">IF(ISNUMBER(SEARCH($AF10,$O$45)),1,0)</f>
        <v>0</v>
      </c>
      <c r="BR10" s="48">
        <f t="shared" ref="BR10:BR41" si="35">IF(ISNUMBER(SEARCH($AF10,$O$46)),1,0)</f>
        <v>0</v>
      </c>
      <c r="BS10" s="48">
        <f t="shared" ref="BS10:BS41" si="36">IF(ISNUMBER(SEARCH($AF10,$O$47)),1,0)</f>
        <v>0</v>
      </c>
      <c r="BT10" s="48">
        <f t="shared" ref="BT10:BT41" si="37">IF(ISNUMBER(SEARCH($AF10,$O$48)),1,0)</f>
        <v>0</v>
      </c>
      <c r="BU10" s="48">
        <f t="shared" ref="BU10:BU41" si="38">IF(ISNUMBER(SEARCH($AF10,$O$49)),1,0)</f>
        <v>0</v>
      </c>
      <c r="BV10" s="48">
        <f t="shared" ref="BV10:BV41" si="39">IF(ISNUMBER(SEARCH($AF10,$O$50)),1,0)</f>
        <v>0</v>
      </c>
      <c r="BW10" s="48">
        <f t="shared" ref="BW10:BW41" si="40">IF(ISNUMBER(SEARCH($AF10,$O$51)),1,0)</f>
        <v>0</v>
      </c>
      <c r="BX10" s="48">
        <f t="shared" ref="BX10:BX41" si="41">IF(ISNUMBER(SEARCH($AF10,$O$52)),1,0)</f>
        <v>0</v>
      </c>
      <c r="BY10" s="48">
        <f t="shared" ref="BY10:BY41" si="42">IF(ISNUMBER(SEARCH($AF10,$O$53)),1,0)</f>
        <v>0</v>
      </c>
      <c r="BZ10" s="48">
        <f t="shared" ref="BZ10:BZ41" si="43">IF(ISNUMBER(SEARCH($AF10,$O$54)),1,0)</f>
        <v>0</v>
      </c>
      <c r="CA10" s="48">
        <f t="shared" ref="CA10:CA41" si="44">IF(ISNUMBER(SEARCH($AF10,$O$55)),1,0)</f>
        <v>0</v>
      </c>
      <c r="CB10" s="48">
        <f t="shared" ref="CB10:CB41" si="45">IF(ISNUMBER(SEARCH($AF10,$O$56)),1,0)</f>
        <v>0</v>
      </c>
      <c r="CC10" s="48">
        <f t="shared" ref="CC10:CC41" si="46">IF(ISNUMBER(SEARCH($AF10,$O$57)),1,0)</f>
        <v>0</v>
      </c>
      <c r="CD10" s="48">
        <f t="shared" ref="CD10:CD41" si="47">IF(ISNUMBER(SEARCH($AF10,$O$58)),1,0)</f>
        <v>0</v>
      </c>
      <c r="CE10" s="48">
        <f t="shared" ref="CE10:CE41" si="48">IF(ISNUMBER(SEARCH($AF10,$O$59)),1,0)</f>
        <v>0</v>
      </c>
      <c r="CF10" s="48">
        <f t="shared" ref="CF10:CF41" si="49">IF(ISNUMBER(SEARCH($AF10,$O$60)),1,0)</f>
        <v>0</v>
      </c>
      <c r="CG10" s="48">
        <f t="shared" ref="CG10:CG41" si="50">IF(ISNUMBER(SEARCH($AF10,$O$61)),1,0)</f>
        <v>0</v>
      </c>
      <c r="CH10" s="48">
        <f t="shared" ref="CH10:CH41" si="51">IF(ISNUMBER(SEARCH($AF10,$O$62)),1,0)</f>
        <v>0</v>
      </c>
      <c r="CI10" s="48">
        <f t="shared" ref="CI10:CI41" si="52">IF(ISNUMBER(SEARCH($AF10,$O$63)),1,0)</f>
        <v>0</v>
      </c>
      <c r="CJ10" s="48">
        <f t="shared" ref="CJ10:CJ41" si="53">IF(ISNUMBER(SEARCH($AF10,$O$64)),1,0)</f>
        <v>0</v>
      </c>
      <c r="CK10" s="48">
        <f t="shared" ref="CK10:CK41" si="54">IF(ISNUMBER(SEARCH($AF10,$O$65)),1,0)</f>
        <v>0</v>
      </c>
      <c r="CL10" s="48">
        <f t="shared" ref="CL10:CL41" si="55">IF(ISNUMBER(SEARCH($AF10,$O$66)),1,0)</f>
        <v>0</v>
      </c>
      <c r="CM10" s="48">
        <f t="shared" ref="CM10:CM41" si="56">IF(ISNUMBER(SEARCH($AF10,$O$67)),1,0)</f>
        <v>0</v>
      </c>
      <c r="CN10" s="48">
        <f t="shared" ref="CN10:CN41" si="57">IF(ISNUMBER(SEARCH($AF10,$O$68)),1,0)</f>
        <v>0</v>
      </c>
      <c r="CO10" s="48">
        <f t="shared" ref="CO10:CO41" si="58">IF(ISNUMBER(SEARCH($AF10,$O$69)),1,0)</f>
        <v>0</v>
      </c>
      <c r="CP10" s="48">
        <f t="shared" ref="CP10:CP41" si="59">IF(ISNUMBER(SEARCH($AF10,$O$70)),1,0)</f>
        <v>0</v>
      </c>
      <c r="CQ10" s="48">
        <f t="shared" ref="CQ10:CQ41" si="60">IF(ISNUMBER(SEARCH($AF10,$O$71)),1,0)</f>
        <v>0</v>
      </c>
      <c r="CR10" s="48">
        <f t="shared" ref="CR10:CR41" si="61">IF(ISNUMBER(SEARCH($AF10,$O$72)),1,0)</f>
        <v>0</v>
      </c>
      <c r="CS10" s="48">
        <f t="shared" ref="CS10:CS41" si="62">IF(ISNUMBER(SEARCH($AF10,$O$73)),1,0)</f>
        <v>0</v>
      </c>
      <c r="CT10" s="48">
        <f t="shared" ref="CT10:CT41" si="63">IF(ISNUMBER(SEARCH($AF10,$O$74)),1,0)</f>
        <v>0</v>
      </c>
      <c r="CU10" s="48">
        <f t="shared" ref="CU10:CU41" si="64">IF(ISNUMBER(SEARCH($AF10,$O$75)),1,0)</f>
        <v>0</v>
      </c>
      <c r="CV10" s="48">
        <f t="shared" ref="CV10:CV41" si="65">IF(ISNUMBER(SEARCH($AF10,$O$76)),1,0)</f>
        <v>0</v>
      </c>
      <c r="CW10" s="48">
        <f t="shared" ref="CW10:CW41" si="66">IF(ISNUMBER(SEARCH($AF10,$O$77)),1,0)</f>
        <v>0</v>
      </c>
      <c r="CX10" s="48">
        <f t="shared" ref="CX10:CX41" si="67">IF(ISNUMBER(SEARCH($AF10,$O$78)),1,0)</f>
        <v>0</v>
      </c>
      <c r="CY10" s="48">
        <f t="shared" ref="CY10:CY41" si="68">IF(ISNUMBER(SEARCH($AF10,$O$79)),1,0)</f>
        <v>0</v>
      </c>
      <c r="CZ10" s="48">
        <f t="shared" ref="CZ10:CZ41" si="69">IF(ISNUMBER(SEARCH($AF10,$O$80)),1,0)</f>
        <v>0</v>
      </c>
      <c r="DA10" s="48">
        <f t="shared" ref="DA10:DA41" si="70">IF(ISNUMBER(SEARCH($AF10,$O$81)),1,0)</f>
        <v>0</v>
      </c>
      <c r="DB10" s="48">
        <f t="shared" ref="DB10:DB41" si="71">IF(ISNUMBER(SEARCH($AF10,$O$82)),1,0)</f>
        <v>0</v>
      </c>
      <c r="DC10" s="48">
        <f t="shared" ref="DC10:DC41" si="72">IF(ISNUMBER(SEARCH($AF10,$O$83)),1,0)</f>
        <v>0</v>
      </c>
      <c r="DD10" s="48">
        <f t="shared" ref="DD10:DD41" si="73">IF(ISNUMBER(SEARCH($AF10,$O$84)),1,0)</f>
        <v>0</v>
      </c>
      <c r="DE10" s="48">
        <f t="shared" ref="DE10:DE41" si="74">IF(ISNUMBER(SEARCH($AF10,$O$85)),1,0)</f>
        <v>0</v>
      </c>
      <c r="DF10" s="48">
        <f t="shared" ref="DF10:DF41" si="75">IF(ISNUMBER(SEARCH($AF10,$O$86)),1,0)</f>
        <v>0</v>
      </c>
      <c r="DG10" s="48">
        <f t="shared" ref="DG10:DG41" si="76">IF(ISNUMBER(SEARCH($AF10,$O$87)),1,0)</f>
        <v>0</v>
      </c>
      <c r="DH10" s="48">
        <f t="shared" ref="DH10:DH41" si="77">IF(ISNUMBER(SEARCH($AF10,$O$88)),1,0)</f>
        <v>0</v>
      </c>
      <c r="DI10" s="48">
        <f t="shared" ref="DI10:DI41" si="78">IF(ISNUMBER(SEARCH($AF10,$O$89)),1,0)</f>
        <v>0</v>
      </c>
      <c r="DJ10" s="48">
        <f t="shared" ref="DJ10:DJ41" si="79">IF(ISNUMBER(SEARCH($AF10,$O$90)),1,0)</f>
        <v>0</v>
      </c>
      <c r="DK10" s="48">
        <f t="shared" ref="DK10:DK41" si="80">IF(ISNUMBER(SEARCH($AF10,$O$91)),1,0)</f>
        <v>0</v>
      </c>
      <c r="DL10" s="48">
        <f t="shared" ref="DL10:DL41" si="81">IF(ISNUMBER(SEARCH($AF10,$O$92)),1,0)</f>
        <v>0</v>
      </c>
      <c r="DM10" s="48">
        <f t="shared" ref="DM10:DM41" si="82">IF(ISNUMBER(SEARCH($AF10,$O$93)),1,0)</f>
        <v>0</v>
      </c>
      <c r="DN10" s="48">
        <f t="shared" ref="DN10:DN41" si="83">IF(ISNUMBER(SEARCH($AF10,$O$94)),1,0)</f>
        <v>0</v>
      </c>
      <c r="DO10" s="48">
        <f t="shared" ref="DO10:DO41" si="84">IF(ISNUMBER(SEARCH($AF10,$O$95)),1,0)</f>
        <v>0</v>
      </c>
      <c r="DP10" s="48">
        <f t="shared" ref="DP10:DP41" si="85">IF(ISNUMBER(SEARCH($AF10,$O$96)),1,0)</f>
        <v>0</v>
      </c>
      <c r="DQ10" s="48">
        <f t="shared" ref="DQ10:DQ41" si="86">IF(ISNUMBER(SEARCH($AF10,$O$97)),1,0)</f>
        <v>0</v>
      </c>
      <c r="DR10" s="48">
        <f t="shared" ref="DR10:DR41" si="87">IF(ISNUMBER(SEARCH($AF10,$O$98)),1,0)</f>
        <v>0</v>
      </c>
      <c r="DS10" s="48">
        <f t="shared" ref="DS10:DS41" si="88">IF(ISNUMBER(SEARCH($AF10,$O$99)),1,0)</f>
        <v>0</v>
      </c>
      <c r="DT10" s="48">
        <f t="shared" ref="DT10:DT41" si="89">IF(ISNUMBER(SEARCH($AF10,$O$100)),1,0)</f>
        <v>0</v>
      </c>
      <c r="DU10" s="48">
        <f t="shared" ref="DU10:DU41" si="90">IF(ISNUMBER(SEARCH($AF10,$O$101)),1,0)</f>
        <v>0</v>
      </c>
      <c r="DV10" s="48">
        <f t="shared" ref="DV10:DV41" si="91">IF(ISNUMBER(SEARCH($AF10,$O$102)),1,0)</f>
        <v>0</v>
      </c>
      <c r="DW10" s="48">
        <f t="shared" ref="DW10:DW41" si="92">IF(ISNUMBER(SEARCH($AF10,$O$103)),1,0)</f>
        <v>0</v>
      </c>
      <c r="DX10" s="48">
        <f t="shared" ref="DX10:DX41" si="93">IF(ISNUMBER(SEARCH($AF10,$O$104)),1,0)</f>
        <v>0</v>
      </c>
      <c r="DY10" s="48">
        <f t="shared" ref="DY10:DY41" si="94">IF(ISNUMBER(SEARCH($AF10,$O$105)),1,0)</f>
        <v>0</v>
      </c>
      <c r="DZ10" s="48">
        <f t="shared" ref="DZ10:DZ41" si="95">IF(ISNUMBER(SEARCH($AF10,$O$106)),1,0)</f>
        <v>0</v>
      </c>
      <c r="EA10" s="48">
        <f t="shared" ref="EA10:EA41" si="96">IF(ISNUMBER(SEARCH($AF10,$O$107)),1,0)</f>
        <v>0</v>
      </c>
      <c r="EB10" s="48">
        <f t="shared" ref="EB10:EB41" si="97">IF(ISNUMBER(SEARCH($AF10,$O$108)),1,0)</f>
        <v>0</v>
      </c>
      <c r="EC10" s="48">
        <f t="shared" ref="EC10:EC41" si="98">IF(ISNUMBER(SEARCH($AF10,$O$109)),1,0)</f>
        <v>0</v>
      </c>
      <c r="ED10" s="48">
        <f t="shared" ref="ED10:ED41" si="99">IF(ISNUMBER(SEARCH($AF10,$O$110)),1,0)</f>
        <v>0</v>
      </c>
      <c r="EE10" s="48">
        <f t="shared" ref="EE10:EE41" si="100">IF(ISNUMBER(SEARCH($AF10,$O$111)),1,0)</f>
        <v>0</v>
      </c>
      <c r="EF10" s="48">
        <f t="shared" ref="EF10:EF41" si="101">IF(ISNUMBER(SEARCH($AF10,$O$112)),1,0)</f>
        <v>0</v>
      </c>
      <c r="EG10" s="48">
        <f t="shared" ref="EG10:EG41" si="102">IF(ISNUMBER(SEARCH($AF10,$O$113)),1,0)</f>
        <v>0</v>
      </c>
      <c r="EH10" s="48">
        <f t="shared" ref="EH10:EH41" si="103">IF(ISNUMBER(SEARCH($AF10,$O$114)),1,0)</f>
        <v>0</v>
      </c>
      <c r="EI10" s="48">
        <f t="shared" ref="EI10:EI41" si="104">IF(ISNUMBER(SEARCH($AF10,$O$115)),1,0)</f>
        <v>0</v>
      </c>
      <c r="EJ10" s="48">
        <f t="shared" ref="EJ10:EJ41" si="105">IF(ISNUMBER(SEARCH($AF10,$O$116)),1,0)</f>
        <v>0</v>
      </c>
      <c r="EK10" s="48">
        <f t="shared" ref="EK10:EK41" si="106">IF(ISNUMBER(SEARCH($AF10,$O$117)),1,0)</f>
        <v>0</v>
      </c>
      <c r="EL10" s="48">
        <f t="shared" ref="EL10:EL41" si="107">IF(ISNUMBER(SEARCH($AF10,$O$118)),1,0)</f>
        <v>0</v>
      </c>
      <c r="EM10" s="48">
        <f t="shared" ref="EM10:EM41" si="108">IF(ISNUMBER(SEARCH($AF10,$O$119)),1,0)</f>
        <v>0</v>
      </c>
      <c r="EN10" s="48">
        <f t="shared" ref="EN10:EN41" si="109">IF(ISNUMBER(SEARCH($AF10,$O$120)),1,0)</f>
        <v>0</v>
      </c>
      <c r="EO10" s="48">
        <f t="shared" ref="EO10:EO41" si="110">IF(ISNUMBER(SEARCH($AF10,$O$121)),1,0)</f>
        <v>0</v>
      </c>
      <c r="EP10" s="48">
        <f t="shared" ref="EP10:EP41" si="111">IF(ISNUMBER(SEARCH($AF10,$O$122)),1,0)</f>
        <v>0</v>
      </c>
      <c r="EQ10" s="48">
        <f t="shared" ref="EQ10:EQ41" si="112">IF(ISNUMBER(SEARCH($AF10,$O$123)),1,0)</f>
        <v>0</v>
      </c>
      <c r="ER10" s="48">
        <f t="shared" ref="ER10:ER41" si="113">IF(ISNUMBER(SEARCH($AF10,$O$124)),1,0)</f>
        <v>0</v>
      </c>
      <c r="ES10" s="48">
        <f t="shared" ref="ES10:ES41" si="114">IF(ISNUMBER(SEARCH($AF10,$O$125)),1,0)</f>
        <v>0</v>
      </c>
      <c r="ET10" s="48">
        <f t="shared" ref="ET10:ET41" si="115">IF(ISNUMBER(SEARCH($AF10,$O$126)),1,0)</f>
        <v>0</v>
      </c>
      <c r="EU10" s="48">
        <f t="shared" ref="EU10:EU41" si="116">IF(ISNUMBER(SEARCH($AF10,$O$127)),1,0)</f>
        <v>0</v>
      </c>
      <c r="EV10" s="48">
        <f t="shared" ref="EV10:EV41" si="117">IF(ISNUMBER(SEARCH($AF10,$O$128)),1,0)</f>
        <v>0</v>
      </c>
      <c r="EW10" s="48">
        <f t="shared" ref="EW10:EW41" si="118">IF(ISNUMBER(SEARCH($AF10,$O$129)),1,0)</f>
        <v>0</v>
      </c>
      <c r="EX10" s="48">
        <f t="shared" ref="EX10:EX41" si="119">IF(ISNUMBER(SEARCH($AF10,$O$130)),1,0)</f>
        <v>0</v>
      </c>
      <c r="EY10" s="48">
        <f t="shared" ref="EY10:EY41" si="120">IF(ISNUMBER(SEARCH($AF10,$O$131)),1,0)</f>
        <v>0</v>
      </c>
      <c r="EZ10" s="48">
        <f t="shared" ref="EZ10:EZ41" si="121">IF(ISNUMBER(SEARCH($AF10,$O$132)),1,0)</f>
        <v>0</v>
      </c>
      <c r="FA10" s="48">
        <f t="shared" ref="FA10:FA41" si="122">IF(ISNUMBER(SEARCH($AF10,$O$133)),1,0)</f>
        <v>0</v>
      </c>
      <c r="FB10" s="48">
        <f t="shared" ref="FB10:FB41" si="123">IF(ISNUMBER(SEARCH($AF10,$O$134)),1,0)</f>
        <v>0</v>
      </c>
      <c r="FC10" s="48">
        <f t="shared" ref="FC10:FC41" si="124">IF(ISNUMBER(SEARCH($AF10,$O$135)),1,0)</f>
        <v>0</v>
      </c>
      <c r="FD10" s="48">
        <f t="shared" ref="FD10:FD41" si="125">IF(ISNUMBER(SEARCH($AF10,$O$136)),1,0)</f>
        <v>0</v>
      </c>
      <c r="FE10" s="48">
        <f t="shared" ref="FE10:FE41" si="126">IF(ISNUMBER(SEARCH($AF10,$O$137)),1,0)</f>
        <v>0</v>
      </c>
      <c r="FF10" s="48">
        <f t="shared" ref="FF10:FF41" si="127">IF(ISNUMBER(SEARCH($AF10,$O$138)),1,0)</f>
        <v>0</v>
      </c>
      <c r="FG10" s="48">
        <f t="shared" ref="FG10:FG41" si="128">IF(ISNUMBER(SEARCH($AF10,$O$139)),1,0)</f>
        <v>0</v>
      </c>
      <c r="FH10" s="48">
        <f t="shared" ref="FH10:FH41" si="129">IF(ISNUMBER(SEARCH($AF10,$O$140)),1,0)</f>
        <v>0</v>
      </c>
      <c r="FI10" s="48">
        <f t="shared" ref="FI10:FI41" si="130">IF(ISNUMBER(SEARCH($AF10,$O$141)),1,0)</f>
        <v>0</v>
      </c>
      <c r="FJ10" s="48">
        <f t="shared" ref="FJ10:FJ41" si="131">IF(ISNUMBER(SEARCH($AF10,$O$142)),1,0)</f>
        <v>0</v>
      </c>
      <c r="FK10" s="48">
        <f t="shared" ref="FK10:FK41" si="132">IF(ISNUMBER(SEARCH($AF10,$O$143)),1,0)</f>
        <v>0</v>
      </c>
      <c r="FL10" s="48">
        <f t="shared" ref="FL10:FL41" si="133">IF(ISNUMBER(SEARCH($AF10,$O$144)),1,0)</f>
        <v>0</v>
      </c>
      <c r="FM10" s="48">
        <f t="shared" ref="FM10:FM41" si="134">IF(ISNUMBER(SEARCH($AF10,$O$145)),1,0)</f>
        <v>0</v>
      </c>
      <c r="FN10" s="48">
        <f t="shared" ref="FN10:FN41" si="135">IF(ISNUMBER(SEARCH($AF10,$O$146)),1,0)</f>
        <v>0</v>
      </c>
      <c r="FO10" s="48">
        <f t="shared" ref="FO10:FO41" si="136">IF(ISNUMBER(SEARCH($AF10,$O$147)),1,0)</f>
        <v>0</v>
      </c>
      <c r="FP10" s="48">
        <f t="shared" ref="FP10:FP41" si="137">IF(ISNUMBER(SEARCH($AF10,$O$148)),1,0)</f>
        <v>0</v>
      </c>
      <c r="FQ10" s="48">
        <f t="shared" ref="FQ10:FQ41" si="138">IF(ISNUMBER(SEARCH($AF10,$O$149)),1,0)</f>
        <v>0</v>
      </c>
      <c r="FR10" s="48">
        <f t="shared" ref="FR10:FR41" si="139">IF(ISNUMBER(SEARCH($AF10,$O$150)),1,0)</f>
        <v>0</v>
      </c>
      <c r="FS10" s="48">
        <f t="shared" ref="FS10:FS41" si="140">IF(ISNUMBER(SEARCH($AF10,$O$151)),1,0)</f>
        <v>0</v>
      </c>
      <c r="FT10" s="48">
        <f t="shared" ref="FT10:FT41" si="141">IF(ISNUMBER(SEARCH($AF10,$O$152)),1,0)</f>
        <v>0</v>
      </c>
      <c r="FU10" s="48">
        <f t="shared" ref="FU10:FU41" si="142">IF(ISNUMBER(SEARCH($AF10,$O$153)),1,0)</f>
        <v>0</v>
      </c>
      <c r="FV10" s="48">
        <f t="shared" ref="FV10:FV41" si="143">IF(ISNUMBER(SEARCH($AF10,$O$154)),1,0)</f>
        <v>0</v>
      </c>
      <c r="FW10" s="48">
        <f t="shared" ref="FW10:FW41" si="144">IF(ISNUMBER(SEARCH($AF10,$O$155)),1,0)</f>
        <v>0</v>
      </c>
      <c r="FX10" s="48">
        <f t="shared" ref="FX10:FX41" si="145">IF(ISNUMBER(SEARCH($AF10,$O$156)),1,0)</f>
        <v>0</v>
      </c>
      <c r="FY10" s="48">
        <f t="shared" ref="FY10:FY41" si="146">IF(ISNUMBER(SEARCH($AF10,$O$157)),1,0)</f>
        <v>0</v>
      </c>
      <c r="FZ10" s="48">
        <f t="shared" ref="FZ10:FZ41" si="147">IF(ISNUMBER(SEARCH($AF10,$O$158)),1,0)</f>
        <v>0</v>
      </c>
      <c r="GA10" s="48">
        <f t="shared" ref="GA10:GA41" si="148">IF(ISNUMBER(SEARCH($AF10,$O$159)),1,0)</f>
        <v>0</v>
      </c>
      <c r="GB10" s="48">
        <f t="shared" ref="GB10:GB41" si="149">IF(ISNUMBER(SEARCH($AF10,$O$160)),1,0)</f>
        <v>0</v>
      </c>
      <c r="GC10" s="48">
        <f t="shared" ref="GC10:GC41" si="150">IF(ISNUMBER(SEARCH($AF10,$O$161)),1,0)</f>
        <v>0</v>
      </c>
      <c r="GG10">
        <f t="shared" ref="GG10:GG41" si="151">IF(SUM(AI10:GC10)&gt;=1,1,0)</f>
        <v>0</v>
      </c>
    </row>
    <row r="11" spans="1:221" x14ac:dyDescent="0.25">
      <c r="A11" s="690"/>
      <c r="B11" s="690"/>
      <c r="C11" s="690"/>
      <c r="D11" s="690"/>
      <c r="E11" s="690"/>
      <c r="F11" s="690"/>
      <c r="G11" s="889"/>
      <c r="H11" s="690"/>
      <c r="I11" s="690"/>
      <c r="J11" s="690"/>
      <c r="K11" s="690"/>
      <c r="L11" s="690"/>
      <c r="M11" s="690"/>
      <c r="N11" s="507" t="str">
        <f>IF(ISBLANK(M11),"",LEN(TRIM(M11))-LEN(SUBSTITUTE(TRIM(M11),",",""))+1)</f>
        <v/>
      </c>
      <c r="O11" s="690"/>
      <c r="P11" s="507" t="str">
        <f>IF(ISBLANK(O11),"",LEN(TRIM(O11))-LEN(SUBSTITUTE(TRIM(O11),",",""))+1)</f>
        <v/>
      </c>
      <c r="Q11" s="690"/>
      <c r="R11" s="690"/>
      <c r="S11" s="690"/>
      <c r="T11" s="690"/>
      <c r="U11">
        <f t="shared" ref="U11:U42" si="152">IF(A11&lt;&gt;"",1,0)</f>
        <v>0</v>
      </c>
      <c r="V11">
        <f t="shared" ref="V11:V42" si="153">IF(OR(J11="Yes",K11="Yes",L11="Yes"), 1, 0)</f>
        <v>0</v>
      </c>
      <c r="X11">
        <f t="shared" ref="X11:X42" si="154">IF(R11="Yes", 1, 0)</f>
        <v>0</v>
      </c>
      <c r="Y11">
        <f t="shared" ref="Y11:Y42" si="155">IF(S11="Yes", 1, 0)</f>
        <v>0</v>
      </c>
      <c r="Z11">
        <f t="shared" ref="Z11:Z42" si="156">IF(T11="Yes", 1, 0)</f>
        <v>0</v>
      </c>
      <c r="AA11">
        <f t="shared" ref="AA11:AA42" si="157">IF(Q11="Yes", 1,0)</f>
        <v>0</v>
      </c>
      <c r="AB11" s="25"/>
      <c r="AC11" s="25"/>
      <c r="AD11" s="25"/>
      <c r="AE11" t="s">
        <v>658</v>
      </c>
      <c r="AF11" s="48" t="s">
        <v>659</v>
      </c>
      <c r="AG11" s="689"/>
      <c r="AH11" s="689"/>
      <c r="AI11" s="48">
        <f t="shared" si="0"/>
        <v>0</v>
      </c>
      <c r="AJ11" s="48">
        <f t="shared" si="1"/>
        <v>0</v>
      </c>
      <c r="AK11" s="48">
        <f t="shared" si="2"/>
        <v>0</v>
      </c>
      <c r="AL11" s="48">
        <f t="shared" si="3"/>
        <v>0</v>
      </c>
      <c r="AM11" s="48">
        <f t="shared" si="4"/>
        <v>0</v>
      </c>
      <c r="AN11" s="48">
        <f t="shared" si="5"/>
        <v>0</v>
      </c>
      <c r="AO11" s="48">
        <f t="shared" si="6"/>
        <v>0</v>
      </c>
      <c r="AP11" s="48">
        <f t="shared" si="7"/>
        <v>0</v>
      </c>
      <c r="AQ11" s="48">
        <f t="shared" si="8"/>
        <v>0</v>
      </c>
      <c r="AR11" s="48">
        <f t="shared" si="9"/>
        <v>0</v>
      </c>
      <c r="AS11" s="48">
        <f t="shared" si="10"/>
        <v>0</v>
      </c>
      <c r="AT11" s="48">
        <f t="shared" si="11"/>
        <v>0</v>
      </c>
      <c r="AU11" s="48">
        <f t="shared" si="12"/>
        <v>0</v>
      </c>
      <c r="AV11" s="48">
        <f t="shared" si="13"/>
        <v>0</v>
      </c>
      <c r="AW11" s="48">
        <f t="shared" si="14"/>
        <v>0</v>
      </c>
      <c r="AX11" s="48">
        <f t="shared" si="15"/>
        <v>0</v>
      </c>
      <c r="AY11" s="48">
        <f t="shared" si="16"/>
        <v>0</v>
      </c>
      <c r="AZ11" s="48">
        <f t="shared" si="17"/>
        <v>0</v>
      </c>
      <c r="BA11" s="48">
        <f t="shared" si="18"/>
        <v>0</v>
      </c>
      <c r="BB11" s="48">
        <f t="shared" si="19"/>
        <v>0</v>
      </c>
      <c r="BC11" s="48">
        <f t="shared" si="20"/>
        <v>0</v>
      </c>
      <c r="BD11" s="48">
        <f t="shared" si="21"/>
        <v>0</v>
      </c>
      <c r="BE11" s="48">
        <f t="shared" si="22"/>
        <v>0</v>
      </c>
      <c r="BF11" s="48">
        <f t="shared" si="23"/>
        <v>0</v>
      </c>
      <c r="BG11" s="48">
        <f t="shared" si="24"/>
        <v>0</v>
      </c>
      <c r="BH11" s="48">
        <f t="shared" si="25"/>
        <v>0</v>
      </c>
      <c r="BI11" s="48">
        <f t="shared" si="26"/>
        <v>0</v>
      </c>
      <c r="BJ11" s="48">
        <f t="shared" si="27"/>
        <v>0</v>
      </c>
      <c r="BK11" s="48">
        <f t="shared" si="28"/>
        <v>0</v>
      </c>
      <c r="BL11" s="48">
        <f t="shared" si="29"/>
        <v>0</v>
      </c>
      <c r="BM11" s="48">
        <f t="shared" si="30"/>
        <v>0</v>
      </c>
      <c r="BN11" s="48">
        <f t="shared" si="31"/>
        <v>0</v>
      </c>
      <c r="BO11" s="48">
        <f t="shared" si="32"/>
        <v>0</v>
      </c>
      <c r="BP11" s="48">
        <f t="shared" si="33"/>
        <v>0</v>
      </c>
      <c r="BQ11" s="48">
        <f t="shared" si="34"/>
        <v>0</v>
      </c>
      <c r="BR11" s="48">
        <f t="shared" si="35"/>
        <v>0</v>
      </c>
      <c r="BS11" s="48">
        <f t="shared" si="36"/>
        <v>0</v>
      </c>
      <c r="BT11" s="48">
        <f t="shared" si="37"/>
        <v>0</v>
      </c>
      <c r="BU11" s="48">
        <f t="shared" si="38"/>
        <v>0</v>
      </c>
      <c r="BV11" s="48">
        <f t="shared" si="39"/>
        <v>0</v>
      </c>
      <c r="BW11" s="48">
        <f t="shared" si="40"/>
        <v>0</v>
      </c>
      <c r="BX11" s="48">
        <f t="shared" si="41"/>
        <v>0</v>
      </c>
      <c r="BY11" s="48">
        <f t="shared" si="42"/>
        <v>0</v>
      </c>
      <c r="BZ11" s="48">
        <f t="shared" si="43"/>
        <v>0</v>
      </c>
      <c r="CA11" s="48">
        <f t="shared" si="44"/>
        <v>0</v>
      </c>
      <c r="CB11" s="48">
        <f t="shared" si="45"/>
        <v>0</v>
      </c>
      <c r="CC11" s="48">
        <f t="shared" si="46"/>
        <v>0</v>
      </c>
      <c r="CD11" s="48">
        <f t="shared" si="47"/>
        <v>0</v>
      </c>
      <c r="CE11" s="48">
        <f t="shared" si="48"/>
        <v>0</v>
      </c>
      <c r="CF11" s="48">
        <f t="shared" si="49"/>
        <v>0</v>
      </c>
      <c r="CG11" s="48">
        <f t="shared" si="50"/>
        <v>0</v>
      </c>
      <c r="CH11" s="48">
        <f t="shared" si="51"/>
        <v>0</v>
      </c>
      <c r="CI11" s="48">
        <f t="shared" si="52"/>
        <v>0</v>
      </c>
      <c r="CJ11" s="48">
        <f t="shared" si="53"/>
        <v>0</v>
      </c>
      <c r="CK11" s="48">
        <f t="shared" si="54"/>
        <v>0</v>
      </c>
      <c r="CL11" s="48">
        <f t="shared" si="55"/>
        <v>0</v>
      </c>
      <c r="CM11" s="48">
        <f t="shared" si="56"/>
        <v>0</v>
      </c>
      <c r="CN11" s="48">
        <f t="shared" si="57"/>
        <v>0</v>
      </c>
      <c r="CO11" s="48">
        <f t="shared" si="58"/>
        <v>0</v>
      </c>
      <c r="CP11" s="48">
        <f t="shared" si="59"/>
        <v>0</v>
      </c>
      <c r="CQ11" s="48">
        <f t="shared" si="60"/>
        <v>0</v>
      </c>
      <c r="CR11" s="48">
        <f t="shared" si="61"/>
        <v>0</v>
      </c>
      <c r="CS11" s="48">
        <f t="shared" si="62"/>
        <v>0</v>
      </c>
      <c r="CT11" s="48">
        <f t="shared" si="63"/>
        <v>0</v>
      </c>
      <c r="CU11" s="48">
        <f t="shared" si="64"/>
        <v>0</v>
      </c>
      <c r="CV11" s="48">
        <f t="shared" si="65"/>
        <v>0</v>
      </c>
      <c r="CW11" s="48">
        <f t="shared" si="66"/>
        <v>0</v>
      </c>
      <c r="CX11" s="48">
        <f t="shared" si="67"/>
        <v>0</v>
      </c>
      <c r="CY11" s="48">
        <f t="shared" si="68"/>
        <v>0</v>
      </c>
      <c r="CZ11" s="48">
        <f t="shared" si="69"/>
        <v>0</v>
      </c>
      <c r="DA11" s="48">
        <f t="shared" si="70"/>
        <v>0</v>
      </c>
      <c r="DB11" s="48">
        <f t="shared" si="71"/>
        <v>0</v>
      </c>
      <c r="DC11" s="48">
        <f t="shared" si="72"/>
        <v>0</v>
      </c>
      <c r="DD11" s="48">
        <f t="shared" si="73"/>
        <v>0</v>
      </c>
      <c r="DE11" s="48">
        <f t="shared" si="74"/>
        <v>0</v>
      </c>
      <c r="DF11" s="48">
        <f t="shared" si="75"/>
        <v>0</v>
      </c>
      <c r="DG11" s="48">
        <f t="shared" si="76"/>
        <v>0</v>
      </c>
      <c r="DH11" s="48">
        <f t="shared" si="77"/>
        <v>0</v>
      </c>
      <c r="DI11" s="48">
        <f t="shared" si="78"/>
        <v>0</v>
      </c>
      <c r="DJ11" s="48">
        <f t="shared" si="79"/>
        <v>0</v>
      </c>
      <c r="DK11" s="48">
        <f t="shared" si="80"/>
        <v>0</v>
      </c>
      <c r="DL11" s="48">
        <f t="shared" si="81"/>
        <v>0</v>
      </c>
      <c r="DM11" s="48">
        <f t="shared" si="82"/>
        <v>0</v>
      </c>
      <c r="DN11" s="48">
        <f t="shared" si="83"/>
        <v>0</v>
      </c>
      <c r="DO11" s="48">
        <f t="shared" si="84"/>
        <v>0</v>
      </c>
      <c r="DP11" s="48">
        <f t="shared" si="85"/>
        <v>0</v>
      </c>
      <c r="DQ11" s="48">
        <f t="shared" si="86"/>
        <v>0</v>
      </c>
      <c r="DR11" s="48">
        <f t="shared" si="87"/>
        <v>0</v>
      </c>
      <c r="DS11" s="48">
        <f t="shared" si="88"/>
        <v>0</v>
      </c>
      <c r="DT11" s="48">
        <f t="shared" si="89"/>
        <v>0</v>
      </c>
      <c r="DU11" s="48">
        <f t="shared" si="90"/>
        <v>0</v>
      </c>
      <c r="DV11" s="48">
        <f t="shared" si="91"/>
        <v>0</v>
      </c>
      <c r="DW11" s="48">
        <f t="shared" si="92"/>
        <v>0</v>
      </c>
      <c r="DX11" s="48">
        <f t="shared" si="93"/>
        <v>0</v>
      </c>
      <c r="DY11" s="48">
        <f t="shared" si="94"/>
        <v>0</v>
      </c>
      <c r="DZ11" s="48">
        <f t="shared" si="95"/>
        <v>0</v>
      </c>
      <c r="EA11" s="48">
        <f t="shared" si="96"/>
        <v>0</v>
      </c>
      <c r="EB11" s="48">
        <f t="shared" si="97"/>
        <v>0</v>
      </c>
      <c r="EC11" s="48">
        <f t="shared" si="98"/>
        <v>0</v>
      </c>
      <c r="ED11" s="48">
        <f t="shared" si="99"/>
        <v>0</v>
      </c>
      <c r="EE11" s="48">
        <f t="shared" si="100"/>
        <v>0</v>
      </c>
      <c r="EF11" s="48">
        <f t="shared" si="101"/>
        <v>0</v>
      </c>
      <c r="EG11" s="48">
        <f t="shared" si="102"/>
        <v>0</v>
      </c>
      <c r="EH11" s="48">
        <f t="shared" si="103"/>
        <v>0</v>
      </c>
      <c r="EI11" s="48">
        <f t="shared" si="104"/>
        <v>0</v>
      </c>
      <c r="EJ11" s="48">
        <f t="shared" si="105"/>
        <v>0</v>
      </c>
      <c r="EK11" s="48">
        <f t="shared" si="106"/>
        <v>0</v>
      </c>
      <c r="EL11" s="48">
        <f t="shared" si="107"/>
        <v>0</v>
      </c>
      <c r="EM11" s="48">
        <f t="shared" si="108"/>
        <v>0</v>
      </c>
      <c r="EN11" s="48">
        <f t="shared" si="109"/>
        <v>0</v>
      </c>
      <c r="EO11" s="48">
        <f t="shared" si="110"/>
        <v>0</v>
      </c>
      <c r="EP11" s="48">
        <f t="shared" si="111"/>
        <v>0</v>
      </c>
      <c r="EQ11" s="48">
        <f t="shared" si="112"/>
        <v>0</v>
      </c>
      <c r="ER11" s="48">
        <f t="shared" si="113"/>
        <v>0</v>
      </c>
      <c r="ES11" s="48">
        <f t="shared" si="114"/>
        <v>0</v>
      </c>
      <c r="ET11" s="48">
        <f t="shared" si="115"/>
        <v>0</v>
      </c>
      <c r="EU11" s="48">
        <f t="shared" si="116"/>
        <v>0</v>
      </c>
      <c r="EV11" s="48">
        <f t="shared" si="117"/>
        <v>0</v>
      </c>
      <c r="EW11" s="48">
        <f t="shared" si="118"/>
        <v>0</v>
      </c>
      <c r="EX11" s="48">
        <f t="shared" si="119"/>
        <v>0</v>
      </c>
      <c r="EY11" s="48">
        <f t="shared" si="120"/>
        <v>0</v>
      </c>
      <c r="EZ11" s="48">
        <f t="shared" si="121"/>
        <v>0</v>
      </c>
      <c r="FA11" s="48">
        <f t="shared" si="122"/>
        <v>0</v>
      </c>
      <c r="FB11" s="48">
        <f t="shared" si="123"/>
        <v>0</v>
      </c>
      <c r="FC11" s="48">
        <f t="shared" si="124"/>
        <v>0</v>
      </c>
      <c r="FD11" s="48">
        <f t="shared" si="125"/>
        <v>0</v>
      </c>
      <c r="FE11" s="48">
        <f t="shared" si="126"/>
        <v>0</v>
      </c>
      <c r="FF11" s="48">
        <f t="shared" si="127"/>
        <v>0</v>
      </c>
      <c r="FG11" s="48">
        <f t="shared" si="128"/>
        <v>0</v>
      </c>
      <c r="FH11" s="48">
        <f t="shared" si="129"/>
        <v>0</v>
      </c>
      <c r="FI11" s="48">
        <f t="shared" si="130"/>
        <v>0</v>
      </c>
      <c r="FJ11" s="48">
        <f t="shared" si="131"/>
        <v>0</v>
      </c>
      <c r="FK11" s="48">
        <f t="shared" si="132"/>
        <v>0</v>
      </c>
      <c r="FL11" s="48">
        <f t="shared" si="133"/>
        <v>0</v>
      </c>
      <c r="FM11" s="48">
        <f t="shared" si="134"/>
        <v>0</v>
      </c>
      <c r="FN11" s="48">
        <f t="shared" si="135"/>
        <v>0</v>
      </c>
      <c r="FO11" s="48">
        <f t="shared" si="136"/>
        <v>0</v>
      </c>
      <c r="FP11" s="48">
        <f t="shared" si="137"/>
        <v>0</v>
      </c>
      <c r="FQ11" s="48">
        <f t="shared" si="138"/>
        <v>0</v>
      </c>
      <c r="FR11" s="48">
        <f t="shared" si="139"/>
        <v>0</v>
      </c>
      <c r="FS11" s="48">
        <f t="shared" si="140"/>
        <v>0</v>
      </c>
      <c r="FT11" s="48">
        <f t="shared" si="141"/>
        <v>0</v>
      </c>
      <c r="FU11" s="48">
        <f t="shared" si="142"/>
        <v>0</v>
      </c>
      <c r="FV11" s="48">
        <f t="shared" si="143"/>
        <v>0</v>
      </c>
      <c r="FW11" s="48">
        <f t="shared" si="144"/>
        <v>0</v>
      </c>
      <c r="FX11" s="48">
        <f t="shared" si="145"/>
        <v>0</v>
      </c>
      <c r="FY11" s="48">
        <f t="shared" si="146"/>
        <v>0</v>
      </c>
      <c r="FZ11" s="48">
        <f t="shared" si="147"/>
        <v>0</v>
      </c>
      <c r="GA11" s="48">
        <f t="shared" si="148"/>
        <v>0</v>
      </c>
      <c r="GB11" s="48">
        <f t="shared" si="149"/>
        <v>0</v>
      </c>
      <c r="GC11" s="48">
        <f t="shared" si="150"/>
        <v>0</v>
      </c>
      <c r="GG11">
        <f t="shared" si="151"/>
        <v>0</v>
      </c>
    </row>
    <row r="12" spans="1:221" x14ac:dyDescent="0.25">
      <c r="A12" s="690"/>
      <c r="B12" s="690"/>
      <c r="C12" s="690"/>
      <c r="D12" s="690"/>
      <c r="E12" s="690"/>
      <c r="F12" s="690"/>
      <c r="G12" s="889"/>
      <c r="H12" s="690"/>
      <c r="I12" s="690"/>
      <c r="J12" s="690"/>
      <c r="K12" s="690"/>
      <c r="L12" s="690"/>
      <c r="M12" s="690"/>
      <c r="N12" s="507" t="str">
        <f>IF(ISBLANK(M12),"",LEN(TRIM(M12))-LEN(SUBSTITUTE(TRIM(M12),",",""))+1)</f>
        <v/>
      </c>
      <c r="O12" s="690"/>
      <c r="P12" s="507" t="str">
        <f t="shared" ref="P12:P75" si="158">IF(ISBLANK(O12),"",LEN(TRIM(O12))-LEN(SUBSTITUTE(TRIM(O12),",",""))+1)</f>
        <v/>
      </c>
      <c r="Q12" s="690"/>
      <c r="R12" s="690"/>
      <c r="S12" s="690"/>
      <c r="T12" s="690"/>
      <c r="U12">
        <f t="shared" si="152"/>
        <v>0</v>
      </c>
      <c r="V12">
        <f t="shared" si="153"/>
        <v>0</v>
      </c>
      <c r="X12">
        <f t="shared" si="154"/>
        <v>0</v>
      </c>
      <c r="Y12">
        <f t="shared" si="155"/>
        <v>0</v>
      </c>
      <c r="Z12">
        <f t="shared" si="156"/>
        <v>0</v>
      </c>
      <c r="AA12">
        <f t="shared" si="157"/>
        <v>0</v>
      </c>
      <c r="AB12" s="25"/>
      <c r="AC12" s="25"/>
      <c r="AD12" s="25"/>
      <c r="AE12" t="s">
        <v>660</v>
      </c>
      <c r="AF12" s="48" t="s">
        <v>661</v>
      </c>
      <c r="AG12" s="689"/>
      <c r="AH12" s="689"/>
      <c r="AI12" s="48">
        <f t="shared" si="0"/>
        <v>0</v>
      </c>
      <c r="AJ12" s="48">
        <f t="shared" si="1"/>
        <v>0</v>
      </c>
      <c r="AK12" s="48">
        <f t="shared" si="2"/>
        <v>0</v>
      </c>
      <c r="AL12" s="48">
        <f t="shared" si="3"/>
        <v>0</v>
      </c>
      <c r="AM12" s="48">
        <f t="shared" si="4"/>
        <v>0</v>
      </c>
      <c r="AN12" s="48">
        <f t="shared" si="5"/>
        <v>0</v>
      </c>
      <c r="AO12" s="48">
        <f t="shared" si="6"/>
        <v>0</v>
      </c>
      <c r="AP12" s="48">
        <f t="shared" si="7"/>
        <v>0</v>
      </c>
      <c r="AQ12" s="48">
        <f t="shared" si="8"/>
        <v>0</v>
      </c>
      <c r="AR12" s="48">
        <f t="shared" si="9"/>
        <v>0</v>
      </c>
      <c r="AS12" s="48">
        <f t="shared" si="10"/>
        <v>0</v>
      </c>
      <c r="AT12" s="48">
        <f t="shared" si="11"/>
        <v>0</v>
      </c>
      <c r="AU12" s="48">
        <f t="shared" si="12"/>
        <v>0</v>
      </c>
      <c r="AV12" s="48">
        <f t="shared" si="13"/>
        <v>0</v>
      </c>
      <c r="AW12" s="48">
        <f t="shared" si="14"/>
        <v>0</v>
      </c>
      <c r="AX12" s="48">
        <f t="shared" si="15"/>
        <v>0</v>
      </c>
      <c r="AY12" s="48">
        <f t="shared" si="16"/>
        <v>0</v>
      </c>
      <c r="AZ12" s="48">
        <f t="shared" si="17"/>
        <v>0</v>
      </c>
      <c r="BA12" s="48">
        <f t="shared" si="18"/>
        <v>0</v>
      </c>
      <c r="BB12" s="48">
        <f t="shared" si="19"/>
        <v>0</v>
      </c>
      <c r="BC12" s="48">
        <f t="shared" si="20"/>
        <v>0</v>
      </c>
      <c r="BD12" s="48">
        <f t="shared" si="21"/>
        <v>0</v>
      </c>
      <c r="BE12" s="48">
        <f t="shared" si="22"/>
        <v>0</v>
      </c>
      <c r="BF12" s="48">
        <f t="shared" si="23"/>
        <v>0</v>
      </c>
      <c r="BG12" s="48">
        <f t="shared" si="24"/>
        <v>0</v>
      </c>
      <c r="BH12" s="48">
        <f t="shared" si="25"/>
        <v>0</v>
      </c>
      <c r="BI12" s="48">
        <f t="shared" si="26"/>
        <v>0</v>
      </c>
      <c r="BJ12" s="48">
        <f t="shared" si="27"/>
        <v>0</v>
      </c>
      <c r="BK12" s="48">
        <f t="shared" si="28"/>
        <v>0</v>
      </c>
      <c r="BL12" s="48">
        <f t="shared" si="29"/>
        <v>0</v>
      </c>
      <c r="BM12" s="48">
        <f t="shared" si="30"/>
        <v>0</v>
      </c>
      <c r="BN12" s="48">
        <f t="shared" si="31"/>
        <v>0</v>
      </c>
      <c r="BO12" s="48">
        <f t="shared" si="32"/>
        <v>0</v>
      </c>
      <c r="BP12" s="48">
        <f t="shared" si="33"/>
        <v>0</v>
      </c>
      <c r="BQ12" s="48">
        <f t="shared" si="34"/>
        <v>0</v>
      </c>
      <c r="BR12" s="48">
        <f t="shared" si="35"/>
        <v>0</v>
      </c>
      <c r="BS12" s="48">
        <f t="shared" si="36"/>
        <v>0</v>
      </c>
      <c r="BT12" s="48">
        <f t="shared" si="37"/>
        <v>0</v>
      </c>
      <c r="BU12" s="48">
        <f t="shared" si="38"/>
        <v>0</v>
      </c>
      <c r="BV12" s="48">
        <f t="shared" si="39"/>
        <v>0</v>
      </c>
      <c r="BW12" s="48">
        <f t="shared" si="40"/>
        <v>0</v>
      </c>
      <c r="BX12" s="48">
        <f t="shared" si="41"/>
        <v>0</v>
      </c>
      <c r="BY12" s="48">
        <f t="shared" si="42"/>
        <v>0</v>
      </c>
      <c r="BZ12" s="48">
        <f t="shared" si="43"/>
        <v>0</v>
      </c>
      <c r="CA12" s="48">
        <f t="shared" si="44"/>
        <v>0</v>
      </c>
      <c r="CB12" s="48">
        <f t="shared" si="45"/>
        <v>0</v>
      </c>
      <c r="CC12" s="48">
        <f t="shared" si="46"/>
        <v>0</v>
      </c>
      <c r="CD12" s="48">
        <f t="shared" si="47"/>
        <v>0</v>
      </c>
      <c r="CE12" s="48">
        <f t="shared" si="48"/>
        <v>0</v>
      </c>
      <c r="CF12" s="48">
        <f t="shared" si="49"/>
        <v>0</v>
      </c>
      <c r="CG12" s="48">
        <f t="shared" si="50"/>
        <v>0</v>
      </c>
      <c r="CH12" s="48">
        <f t="shared" si="51"/>
        <v>0</v>
      </c>
      <c r="CI12" s="48">
        <f t="shared" si="52"/>
        <v>0</v>
      </c>
      <c r="CJ12" s="48">
        <f t="shared" si="53"/>
        <v>0</v>
      </c>
      <c r="CK12" s="48">
        <f t="shared" si="54"/>
        <v>0</v>
      </c>
      <c r="CL12" s="48">
        <f t="shared" si="55"/>
        <v>0</v>
      </c>
      <c r="CM12" s="48">
        <f t="shared" si="56"/>
        <v>0</v>
      </c>
      <c r="CN12" s="48">
        <f t="shared" si="57"/>
        <v>0</v>
      </c>
      <c r="CO12" s="48">
        <f t="shared" si="58"/>
        <v>0</v>
      </c>
      <c r="CP12" s="48">
        <f t="shared" si="59"/>
        <v>0</v>
      </c>
      <c r="CQ12" s="48">
        <f t="shared" si="60"/>
        <v>0</v>
      </c>
      <c r="CR12" s="48">
        <f t="shared" si="61"/>
        <v>0</v>
      </c>
      <c r="CS12" s="48">
        <f t="shared" si="62"/>
        <v>0</v>
      </c>
      <c r="CT12" s="48">
        <f t="shared" si="63"/>
        <v>0</v>
      </c>
      <c r="CU12" s="48">
        <f t="shared" si="64"/>
        <v>0</v>
      </c>
      <c r="CV12" s="48">
        <f t="shared" si="65"/>
        <v>0</v>
      </c>
      <c r="CW12" s="48">
        <f t="shared" si="66"/>
        <v>0</v>
      </c>
      <c r="CX12" s="48">
        <f t="shared" si="67"/>
        <v>0</v>
      </c>
      <c r="CY12" s="48">
        <f t="shared" si="68"/>
        <v>0</v>
      </c>
      <c r="CZ12" s="48">
        <f t="shared" si="69"/>
        <v>0</v>
      </c>
      <c r="DA12" s="48">
        <f t="shared" si="70"/>
        <v>0</v>
      </c>
      <c r="DB12" s="48">
        <f t="shared" si="71"/>
        <v>0</v>
      </c>
      <c r="DC12" s="48">
        <f t="shared" si="72"/>
        <v>0</v>
      </c>
      <c r="DD12" s="48">
        <f t="shared" si="73"/>
        <v>0</v>
      </c>
      <c r="DE12" s="48">
        <f t="shared" si="74"/>
        <v>0</v>
      </c>
      <c r="DF12" s="48">
        <f t="shared" si="75"/>
        <v>0</v>
      </c>
      <c r="DG12" s="48">
        <f t="shared" si="76"/>
        <v>0</v>
      </c>
      <c r="DH12" s="48">
        <f t="shared" si="77"/>
        <v>0</v>
      </c>
      <c r="DI12" s="48">
        <f t="shared" si="78"/>
        <v>0</v>
      </c>
      <c r="DJ12" s="48">
        <f t="shared" si="79"/>
        <v>0</v>
      </c>
      <c r="DK12" s="48">
        <f t="shared" si="80"/>
        <v>0</v>
      </c>
      <c r="DL12" s="48">
        <f t="shared" si="81"/>
        <v>0</v>
      </c>
      <c r="DM12" s="48">
        <f t="shared" si="82"/>
        <v>0</v>
      </c>
      <c r="DN12" s="48">
        <f t="shared" si="83"/>
        <v>0</v>
      </c>
      <c r="DO12" s="48">
        <f t="shared" si="84"/>
        <v>0</v>
      </c>
      <c r="DP12" s="48">
        <f t="shared" si="85"/>
        <v>0</v>
      </c>
      <c r="DQ12" s="48">
        <f t="shared" si="86"/>
        <v>0</v>
      </c>
      <c r="DR12" s="48">
        <f t="shared" si="87"/>
        <v>0</v>
      </c>
      <c r="DS12" s="48">
        <f t="shared" si="88"/>
        <v>0</v>
      </c>
      <c r="DT12" s="48">
        <f t="shared" si="89"/>
        <v>0</v>
      </c>
      <c r="DU12" s="48">
        <f t="shared" si="90"/>
        <v>0</v>
      </c>
      <c r="DV12" s="48">
        <f t="shared" si="91"/>
        <v>0</v>
      </c>
      <c r="DW12" s="48">
        <f t="shared" si="92"/>
        <v>0</v>
      </c>
      <c r="DX12" s="48">
        <f t="shared" si="93"/>
        <v>0</v>
      </c>
      <c r="DY12" s="48">
        <f t="shared" si="94"/>
        <v>0</v>
      </c>
      <c r="DZ12" s="48">
        <f t="shared" si="95"/>
        <v>0</v>
      </c>
      <c r="EA12" s="48">
        <f t="shared" si="96"/>
        <v>0</v>
      </c>
      <c r="EB12" s="48">
        <f t="shared" si="97"/>
        <v>0</v>
      </c>
      <c r="EC12" s="48">
        <f t="shared" si="98"/>
        <v>0</v>
      </c>
      <c r="ED12" s="48">
        <f t="shared" si="99"/>
        <v>0</v>
      </c>
      <c r="EE12" s="48">
        <f t="shared" si="100"/>
        <v>0</v>
      </c>
      <c r="EF12" s="48">
        <f t="shared" si="101"/>
        <v>0</v>
      </c>
      <c r="EG12" s="48">
        <f t="shared" si="102"/>
        <v>0</v>
      </c>
      <c r="EH12" s="48">
        <f t="shared" si="103"/>
        <v>0</v>
      </c>
      <c r="EI12" s="48">
        <f t="shared" si="104"/>
        <v>0</v>
      </c>
      <c r="EJ12" s="48">
        <f t="shared" si="105"/>
        <v>0</v>
      </c>
      <c r="EK12" s="48">
        <f t="shared" si="106"/>
        <v>0</v>
      </c>
      <c r="EL12" s="48">
        <f t="shared" si="107"/>
        <v>0</v>
      </c>
      <c r="EM12" s="48">
        <f t="shared" si="108"/>
        <v>0</v>
      </c>
      <c r="EN12" s="48">
        <f t="shared" si="109"/>
        <v>0</v>
      </c>
      <c r="EO12" s="48">
        <f t="shared" si="110"/>
        <v>0</v>
      </c>
      <c r="EP12" s="48">
        <f t="shared" si="111"/>
        <v>0</v>
      </c>
      <c r="EQ12" s="48">
        <f t="shared" si="112"/>
        <v>0</v>
      </c>
      <c r="ER12" s="48">
        <f t="shared" si="113"/>
        <v>0</v>
      </c>
      <c r="ES12" s="48">
        <f t="shared" si="114"/>
        <v>0</v>
      </c>
      <c r="ET12" s="48">
        <f t="shared" si="115"/>
        <v>0</v>
      </c>
      <c r="EU12" s="48">
        <f t="shared" si="116"/>
        <v>0</v>
      </c>
      <c r="EV12" s="48">
        <f t="shared" si="117"/>
        <v>0</v>
      </c>
      <c r="EW12" s="48">
        <f t="shared" si="118"/>
        <v>0</v>
      </c>
      <c r="EX12" s="48">
        <f t="shared" si="119"/>
        <v>0</v>
      </c>
      <c r="EY12" s="48">
        <f t="shared" si="120"/>
        <v>0</v>
      </c>
      <c r="EZ12" s="48">
        <f t="shared" si="121"/>
        <v>0</v>
      </c>
      <c r="FA12" s="48">
        <f t="shared" si="122"/>
        <v>0</v>
      </c>
      <c r="FB12" s="48">
        <f t="shared" si="123"/>
        <v>0</v>
      </c>
      <c r="FC12" s="48">
        <f t="shared" si="124"/>
        <v>0</v>
      </c>
      <c r="FD12" s="48">
        <f t="shared" si="125"/>
        <v>0</v>
      </c>
      <c r="FE12" s="48">
        <f t="shared" si="126"/>
        <v>0</v>
      </c>
      <c r="FF12" s="48">
        <f t="shared" si="127"/>
        <v>0</v>
      </c>
      <c r="FG12" s="48">
        <f t="shared" si="128"/>
        <v>0</v>
      </c>
      <c r="FH12" s="48">
        <f t="shared" si="129"/>
        <v>0</v>
      </c>
      <c r="FI12" s="48">
        <f t="shared" si="130"/>
        <v>0</v>
      </c>
      <c r="FJ12" s="48">
        <f t="shared" si="131"/>
        <v>0</v>
      </c>
      <c r="FK12" s="48">
        <f t="shared" si="132"/>
        <v>0</v>
      </c>
      <c r="FL12" s="48">
        <f t="shared" si="133"/>
        <v>0</v>
      </c>
      <c r="FM12" s="48">
        <f t="shared" si="134"/>
        <v>0</v>
      </c>
      <c r="FN12" s="48">
        <f t="shared" si="135"/>
        <v>0</v>
      </c>
      <c r="FO12" s="48">
        <f t="shared" si="136"/>
        <v>0</v>
      </c>
      <c r="FP12" s="48">
        <f t="shared" si="137"/>
        <v>0</v>
      </c>
      <c r="FQ12" s="48">
        <f t="shared" si="138"/>
        <v>0</v>
      </c>
      <c r="FR12" s="48">
        <f t="shared" si="139"/>
        <v>0</v>
      </c>
      <c r="FS12" s="48">
        <f t="shared" si="140"/>
        <v>0</v>
      </c>
      <c r="FT12" s="48">
        <f t="shared" si="141"/>
        <v>0</v>
      </c>
      <c r="FU12" s="48">
        <f t="shared" si="142"/>
        <v>0</v>
      </c>
      <c r="FV12" s="48">
        <f t="shared" si="143"/>
        <v>0</v>
      </c>
      <c r="FW12" s="48">
        <f t="shared" si="144"/>
        <v>0</v>
      </c>
      <c r="FX12" s="48">
        <f t="shared" si="145"/>
        <v>0</v>
      </c>
      <c r="FY12" s="48">
        <f t="shared" si="146"/>
        <v>0</v>
      </c>
      <c r="FZ12" s="48">
        <f t="shared" si="147"/>
        <v>0</v>
      </c>
      <c r="GA12" s="48">
        <f t="shared" si="148"/>
        <v>0</v>
      </c>
      <c r="GB12" s="48">
        <f t="shared" si="149"/>
        <v>0</v>
      </c>
      <c r="GC12" s="48">
        <f t="shared" si="150"/>
        <v>0</v>
      </c>
      <c r="GG12">
        <f t="shared" si="151"/>
        <v>0</v>
      </c>
    </row>
    <row r="13" spans="1:221" x14ac:dyDescent="0.25">
      <c r="A13" s="690"/>
      <c r="B13" s="690"/>
      <c r="C13" s="690"/>
      <c r="D13" s="690"/>
      <c r="E13" s="690"/>
      <c r="F13" s="690"/>
      <c r="G13" s="889"/>
      <c r="H13" s="690"/>
      <c r="I13" s="690"/>
      <c r="J13" s="690"/>
      <c r="K13" s="690"/>
      <c r="L13" s="690"/>
      <c r="M13" s="690"/>
      <c r="N13" s="507" t="str">
        <f t="shared" ref="N13:N75" si="159">IF(ISBLANK(M13),"",LEN(TRIM(M13))-LEN(SUBSTITUTE(TRIM(M13),",",""))+1)</f>
        <v/>
      </c>
      <c r="O13" s="690"/>
      <c r="P13" s="507" t="str">
        <f t="shared" si="158"/>
        <v/>
      </c>
      <c r="Q13" s="690"/>
      <c r="R13" s="690"/>
      <c r="S13" s="690"/>
      <c r="T13" s="690"/>
      <c r="U13">
        <f t="shared" si="152"/>
        <v>0</v>
      </c>
      <c r="V13">
        <f t="shared" si="153"/>
        <v>0</v>
      </c>
      <c r="X13">
        <f t="shared" si="154"/>
        <v>0</v>
      </c>
      <c r="Y13">
        <f t="shared" si="155"/>
        <v>0</v>
      </c>
      <c r="Z13">
        <f t="shared" si="156"/>
        <v>0</v>
      </c>
      <c r="AA13">
        <f t="shared" si="157"/>
        <v>0</v>
      </c>
      <c r="AB13" s="25"/>
      <c r="AC13" s="25"/>
      <c r="AD13" s="25"/>
      <c r="AE13" t="s">
        <v>662</v>
      </c>
      <c r="AF13" s="48" t="s">
        <v>663</v>
      </c>
      <c r="AG13" s="689"/>
      <c r="AH13" s="689"/>
      <c r="AI13" s="48">
        <f t="shared" si="0"/>
        <v>0</v>
      </c>
      <c r="AJ13" s="48">
        <f t="shared" si="1"/>
        <v>0</v>
      </c>
      <c r="AK13" s="48">
        <f t="shared" si="2"/>
        <v>0</v>
      </c>
      <c r="AL13" s="48">
        <f t="shared" si="3"/>
        <v>0</v>
      </c>
      <c r="AM13" s="48">
        <f t="shared" si="4"/>
        <v>0</v>
      </c>
      <c r="AN13" s="48">
        <f t="shared" si="5"/>
        <v>0</v>
      </c>
      <c r="AO13" s="48">
        <f t="shared" si="6"/>
        <v>0</v>
      </c>
      <c r="AP13" s="48">
        <f t="shared" si="7"/>
        <v>0</v>
      </c>
      <c r="AQ13" s="48">
        <f t="shared" si="8"/>
        <v>0</v>
      </c>
      <c r="AR13" s="48">
        <f t="shared" si="9"/>
        <v>0</v>
      </c>
      <c r="AS13" s="48">
        <f t="shared" si="10"/>
        <v>0</v>
      </c>
      <c r="AT13" s="48">
        <f t="shared" si="11"/>
        <v>0</v>
      </c>
      <c r="AU13" s="48">
        <f t="shared" si="12"/>
        <v>0</v>
      </c>
      <c r="AV13" s="48">
        <f t="shared" si="13"/>
        <v>0</v>
      </c>
      <c r="AW13" s="48">
        <f t="shared" si="14"/>
        <v>0</v>
      </c>
      <c r="AX13" s="48">
        <f t="shared" si="15"/>
        <v>0</v>
      </c>
      <c r="AY13" s="48">
        <f t="shared" si="16"/>
        <v>0</v>
      </c>
      <c r="AZ13" s="48">
        <f t="shared" si="17"/>
        <v>0</v>
      </c>
      <c r="BA13" s="48">
        <f t="shared" si="18"/>
        <v>0</v>
      </c>
      <c r="BB13" s="48">
        <f t="shared" si="19"/>
        <v>0</v>
      </c>
      <c r="BC13" s="48">
        <f t="shared" si="20"/>
        <v>0</v>
      </c>
      <c r="BD13" s="48">
        <f t="shared" si="21"/>
        <v>0</v>
      </c>
      <c r="BE13" s="48">
        <f t="shared" si="22"/>
        <v>0</v>
      </c>
      <c r="BF13" s="48">
        <f t="shared" si="23"/>
        <v>0</v>
      </c>
      <c r="BG13" s="48">
        <f t="shared" si="24"/>
        <v>0</v>
      </c>
      <c r="BH13" s="48">
        <f t="shared" si="25"/>
        <v>0</v>
      </c>
      <c r="BI13" s="48">
        <f t="shared" si="26"/>
        <v>0</v>
      </c>
      <c r="BJ13" s="48">
        <f t="shared" si="27"/>
        <v>0</v>
      </c>
      <c r="BK13" s="48">
        <f t="shared" si="28"/>
        <v>0</v>
      </c>
      <c r="BL13" s="48">
        <f t="shared" si="29"/>
        <v>0</v>
      </c>
      <c r="BM13" s="48">
        <f t="shared" si="30"/>
        <v>0</v>
      </c>
      <c r="BN13" s="48">
        <f t="shared" si="31"/>
        <v>0</v>
      </c>
      <c r="BO13" s="48">
        <f t="shared" si="32"/>
        <v>0</v>
      </c>
      <c r="BP13" s="48">
        <f t="shared" si="33"/>
        <v>0</v>
      </c>
      <c r="BQ13" s="48">
        <f t="shared" si="34"/>
        <v>0</v>
      </c>
      <c r="BR13" s="48">
        <f t="shared" si="35"/>
        <v>0</v>
      </c>
      <c r="BS13" s="48">
        <f t="shared" si="36"/>
        <v>0</v>
      </c>
      <c r="BT13" s="48">
        <f t="shared" si="37"/>
        <v>0</v>
      </c>
      <c r="BU13" s="48">
        <f t="shared" si="38"/>
        <v>0</v>
      </c>
      <c r="BV13" s="48">
        <f t="shared" si="39"/>
        <v>0</v>
      </c>
      <c r="BW13" s="48">
        <f t="shared" si="40"/>
        <v>0</v>
      </c>
      <c r="BX13" s="48">
        <f t="shared" si="41"/>
        <v>0</v>
      </c>
      <c r="BY13" s="48">
        <f t="shared" si="42"/>
        <v>0</v>
      </c>
      <c r="BZ13" s="48">
        <f t="shared" si="43"/>
        <v>0</v>
      </c>
      <c r="CA13" s="48">
        <f t="shared" si="44"/>
        <v>0</v>
      </c>
      <c r="CB13" s="48">
        <f t="shared" si="45"/>
        <v>0</v>
      </c>
      <c r="CC13" s="48">
        <f t="shared" si="46"/>
        <v>0</v>
      </c>
      <c r="CD13" s="48">
        <f t="shared" si="47"/>
        <v>0</v>
      </c>
      <c r="CE13" s="48">
        <f t="shared" si="48"/>
        <v>0</v>
      </c>
      <c r="CF13" s="48">
        <f t="shared" si="49"/>
        <v>0</v>
      </c>
      <c r="CG13" s="48">
        <f t="shared" si="50"/>
        <v>0</v>
      </c>
      <c r="CH13" s="48">
        <f t="shared" si="51"/>
        <v>0</v>
      </c>
      <c r="CI13" s="48">
        <f t="shared" si="52"/>
        <v>0</v>
      </c>
      <c r="CJ13" s="48">
        <f t="shared" si="53"/>
        <v>0</v>
      </c>
      <c r="CK13" s="48">
        <f t="shared" si="54"/>
        <v>0</v>
      </c>
      <c r="CL13" s="48">
        <f t="shared" si="55"/>
        <v>0</v>
      </c>
      <c r="CM13" s="48">
        <f t="shared" si="56"/>
        <v>0</v>
      </c>
      <c r="CN13" s="48">
        <f t="shared" si="57"/>
        <v>0</v>
      </c>
      <c r="CO13" s="48">
        <f t="shared" si="58"/>
        <v>0</v>
      </c>
      <c r="CP13" s="48">
        <f t="shared" si="59"/>
        <v>0</v>
      </c>
      <c r="CQ13" s="48">
        <f t="shared" si="60"/>
        <v>0</v>
      </c>
      <c r="CR13" s="48">
        <f t="shared" si="61"/>
        <v>0</v>
      </c>
      <c r="CS13" s="48">
        <f t="shared" si="62"/>
        <v>0</v>
      </c>
      <c r="CT13" s="48">
        <f t="shared" si="63"/>
        <v>0</v>
      </c>
      <c r="CU13" s="48">
        <f t="shared" si="64"/>
        <v>0</v>
      </c>
      <c r="CV13" s="48">
        <f t="shared" si="65"/>
        <v>0</v>
      </c>
      <c r="CW13" s="48">
        <f t="shared" si="66"/>
        <v>0</v>
      </c>
      <c r="CX13" s="48">
        <f t="shared" si="67"/>
        <v>0</v>
      </c>
      <c r="CY13" s="48">
        <f t="shared" si="68"/>
        <v>0</v>
      </c>
      <c r="CZ13" s="48">
        <f t="shared" si="69"/>
        <v>0</v>
      </c>
      <c r="DA13" s="48">
        <f t="shared" si="70"/>
        <v>0</v>
      </c>
      <c r="DB13" s="48">
        <f t="shared" si="71"/>
        <v>0</v>
      </c>
      <c r="DC13" s="48">
        <f t="shared" si="72"/>
        <v>0</v>
      </c>
      <c r="DD13" s="48">
        <f t="shared" si="73"/>
        <v>0</v>
      </c>
      <c r="DE13" s="48">
        <f t="shared" si="74"/>
        <v>0</v>
      </c>
      <c r="DF13" s="48">
        <f t="shared" si="75"/>
        <v>0</v>
      </c>
      <c r="DG13" s="48">
        <f t="shared" si="76"/>
        <v>0</v>
      </c>
      <c r="DH13" s="48">
        <f t="shared" si="77"/>
        <v>0</v>
      </c>
      <c r="DI13" s="48">
        <f t="shared" si="78"/>
        <v>0</v>
      </c>
      <c r="DJ13" s="48">
        <f t="shared" si="79"/>
        <v>0</v>
      </c>
      <c r="DK13" s="48">
        <f t="shared" si="80"/>
        <v>0</v>
      </c>
      <c r="DL13" s="48">
        <f t="shared" si="81"/>
        <v>0</v>
      </c>
      <c r="DM13" s="48">
        <f t="shared" si="82"/>
        <v>0</v>
      </c>
      <c r="DN13" s="48">
        <f t="shared" si="83"/>
        <v>0</v>
      </c>
      <c r="DO13" s="48">
        <f t="shared" si="84"/>
        <v>0</v>
      </c>
      <c r="DP13" s="48">
        <f t="shared" si="85"/>
        <v>0</v>
      </c>
      <c r="DQ13" s="48">
        <f t="shared" si="86"/>
        <v>0</v>
      </c>
      <c r="DR13" s="48">
        <f t="shared" si="87"/>
        <v>0</v>
      </c>
      <c r="DS13" s="48">
        <f t="shared" si="88"/>
        <v>0</v>
      </c>
      <c r="DT13" s="48">
        <f t="shared" si="89"/>
        <v>0</v>
      </c>
      <c r="DU13" s="48">
        <f t="shared" si="90"/>
        <v>0</v>
      </c>
      <c r="DV13" s="48">
        <f t="shared" si="91"/>
        <v>0</v>
      </c>
      <c r="DW13" s="48">
        <f t="shared" si="92"/>
        <v>0</v>
      </c>
      <c r="DX13" s="48">
        <f t="shared" si="93"/>
        <v>0</v>
      </c>
      <c r="DY13" s="48">
        <f t="shared" si="94"/>
        <v>0</v>
      </c>
      <c r="DZ13" s="48">
        <f t="shared" si="95"/>
        <v>0</v>
      </c>
      <c r="EA13" s="48">
        <f t="shared" si="96"/>
        <v>0</v>
      </c>
      <c r="EB13" s="48">
        <f t="shared" si="97"/>
        <v>0</v>
      </c>
      <c r="EC13" s="48">
        <f t="shared" si="98"/>
        <v>0</v>
      </c>
      <c r="ED13" s="48">
        <f t="shared" si="99"/>
        <v>0</v>
      </c>
      <c r="EE13" s="48">
        <f t="shared" si="100"/>
        <v>0</v>
      </c>
      <c r="EF13" s="48">
        <f t="shared" si="101"/>
        <v>0</v>
      </c>
      <c r="EG13" s="48">
        <f t="shared" si="102"/>
        <v>0</v>
      </c>
      <c r="EH13" s="48">
        <f t="shared" si="103"/>
        <v>0</v>
      </c>
      <c r="EI13" s="48">
        <f t="shared" si="104"/>
        <v>0</v>
      </c>
      <c r="EJ13" s="48">
        <f t="shared" si="105"/>
        <v>0</v>
      </c>
      <c r="EK13" s="48">
        <f t="shared" si="106"/>
        <v>0</v>
      </c>
      <c r="EL13" s="48">
        <f t="shared" si="107"/>
        <v>0</v>
      </c>
      <c r="EM13" s="48">
        <f t="shared" si="108"/>
        <v>0</v>
      </c>
      <c r="EN13" s="48">
        <f t="shared" si="109"/>
        <v>0</v>
      </c>
      <c r="EO13" s="48">
        <f t="shared" si="110"/>
        <v>0</v>
      </c>
      <c r="EP13" s="48">
        <f t="shared" si="111"/>
        <v>0</v>
      </c>
      <c r="EQ13" s="48">
        <f t="shared" si="112"/>
        <v>0</v>
      </c>
      <c r="ER13" s="48">
        <f t="shared" si="113"/>
        <v>0</v>
      </c>
      <c r="ES13" s="48">
        <f t="shared" si="114"/>
        <v>0</v>
      </c>
      <c r="ET13" s="48">
        <f t="shared" si="115"/>
        <v>0</v>
      </c>
      <c r="EU13" s="48">
        <f t="shared" si="116"/>
        <v>0</v>
      </c>
      <c r="EV13" s="48">
        <f t="shared" si="117"/>
        <v>0</v>
      </c>
      <c r="EW13" s="48">
        <f t="shared" si="118"/>
        <v>0</v>
      </c>
      <c r="EX13" s="48">
        <f t="shared" si="119"/>
        <v>0</v>
      </c>
      <c r="EY13" s="48">
        <f t="shared" si="120"/>
        <v>0</v>
      </c>
      <c r="EZ13" s="48">
        <f t="shared" si="121"/>
        <v>0</v>
      </c>
      <c r="FA13" s="48">
        <f t="shared" si="122"/>
        <v>0</v>
      </c>
      <c r="FB13" s="48">
        <f t="shared" si="123"/>
        <v>0</v>
      </c>
      <c r="FC13" s="48">
        <f t="shared" si="124"/>
        <v>0</v>
      </c>
      <c r="FD13" s="48">
        <f t="shared" si="125"/>
        <v>0</v>
      </c>
      <c r="FE13" s="48">
        <f t="shared" si="126"/>
        <v>0</v>
      </c>
      <c r="FF13" s="48">
        <f t="shared" si="127"/>
        <v>0</v>
      </c>
      <c r="FG13" s="48">
        <f t="shared" si="128"/>
        <v>0</v>
      </c>
      <c r="FH13" s="48">
        <f t="shared" si="129"/>
        <v>0</v>
      </c>
      <c r="FI13" s="48">
        <f t="shared" si="130"/>
        <v>0</v>
      </c>
      <c r="FJ13" s="48">
        <f t="shared" si="131"/>
        <v>0</v>
      </c>
      <c r="FK13" s="48">
        <f t="shared" si="132"/>
        <v>0</v>
      </c>
      <c r="FL13" s="48">
        <f t="shared" si="133"/>
        <v>0</v>
      </c>
      <c r="FM13" s="48">
        <f t="shared" si="134"/>
        <v>0</v>
      </c>
      <c r="FN13" s="48">
        <f t="shared" si="135"/>
        <v>0</v>
      </c>
      <c r="FO13" s="48">
        <f t="shared" si="136"/>
        <v>0</v>
      </c>
      <c r="FP13" s="48">
        <f t="shared" si="137"/>
        <v>0</v>
      </c>
      <c r="FQ13" s="48">
        <f t="shared" si="138"/>
        <v>0</v>
      </c>
      <c r="FR13" s="48">
        <f t="shared" si="139"/>
        <v>0</v>
      </c>
      <c r="FS13" s="48">
        <f t="shared" si="140"/>
        <v>0</v>
      </c>
      <c r="FT13" s="48">
        <f t="shared" si="141"/>
        <v>0</v>
      </c>
      <c r="FU13" s="48">
        <f t="shared" si="142"/>
        <v>0</v>
      </c>
      <c r="FV13" s="48">
        <f t="shared" si="143"/>
        <v>0</v>
      </c>
      <c r="FW13" s="48">
        <f t="shared" si="144"/>
        <v>0</v>
      </c>
      <c r="FX13" s="48">
        <f t="shared" si="145"/>
        <v>0</v>
      </c>
      <c r="FY13" s="48">
        <f t="shared" si="146"/>
        <v>0</v>
      </c>
      <c r="FZ13" s="48">
        <f t="shared" si="147"/>
        <v>0</v>
      </c>
      <c r="GA13" s="48">
        <f t="shared" si="148"/>
        <v>0</v>
      </c>
      <c r="GB13" s="48">
        <f t="shared" si="149"/>
        <v>0</v>
      </c>
      <c r="GC13" s="48">
        <f t="shared" si="150"/>
        <v>0</v>
      </c>
      <c r="GG13">
        <f t="shared" si="151"/>
        <v>0</v>
      </c>
    </row>
    <row r="14" spans="1:221" x14ac:dyDescent="0.25">
      <c r="A14" s="690"/>
      <c r="B14" s="690"/>
      <c r="C14" s="690"/>
      <c r="D14" s="690"/>
      <c r="E14" s="690"/>
      <c r="F14" s="690"/>
      <c r="G14" s="889"/>
      <c r="H14" s="690"/>
      <c r="I14" s="690"/>
      <c r="J14" s="690"/>
      <c r="K14" s="690"/>
      <c r="L14" s="690"/>
      <c r="M14" s="690"/>
      <c r="N14" s="507" t="str">
        <f t="shared" si="159"/>
        <v/>
      </c>
      <c r="O14" s="690"/>
      <c r="P14" s="507" t="str">
        <f t="shared" si="158"/>
        <v/>
      </c>
      <c r="Q14" s="690"/>
      <c r="R14" s="690"/>
      <c r="S14" s="690"/>
      <c r="T14" s="690"/>
      <c r="U14">
        <f t="shared" si="152"/>
        <v>0</v>
      </c>
      <c r="V14">
        <f t="shared" si="153"/>
        <v>0</v>
      </c>
      <c r="X14">
        <f t="shared" si="154"/>
        <v>0</v>
      </c>
      <c r="Y14">
        <f t="shared" si="155"/>
        <v>0</v>
      </c>
      <c r="Z14">
        <f t="shared" si="156"/>
        <v>0</v>
      </c>
      <c r="AA14">
        <f t="shared" si="157"/>
        <v>0</v>
      </c>
      <c r="AB14" s="25"/>
      <c r="AC14" s="25"/>
      <c r="AD14" s="25"/>
      <c r="AE14" t="s">
        <v>664</v>
      </c>
      <c r="AF14" s="48" t="s">
        <v>665</v>
      </c>
      <c r="AG14" s="689"/>
      <c r="AH14" s="689"/>
      <c r="AI14" s="48">
        <f t="shared" si="0"/>
        <v>0</v>
      </c>
      <c r="AJ14" s="48">
        <f t="shared" si="1"/>
        <v>0</v>
      </c>
      <c r="AK14" s="48">
        <f t="shared" si="2"/>
        <v>0</v>
      </c>
      <c r="AL14" s="48">
        <f t="shared" si="3"/>
        <v>0</v>
      </c>
      <c r="AM14" s="48">
        <f t="shared" si="4"/>
        <v>0</v>
      </c>
      <c r="AN14" s="48">
        <f t="shared" si="5"/>
        <v>0</v>
      </c>
      <c r="AO14" s="48">
        <f t="shared" si="6"/>
        <v>0</v>
      </c>
      <c r="AP14" s="48">
        <f t="shared" si="7"/>
        <v>0</v>
      </c>
      <c r="AQ14" s="48">
        <f t="shared" si="8"/>
        <v>0</v>
      </c>
      <c r="AR14" s="48">
        <f t="shared" si="9"/>
        <v>0</v>
      </c>
      <c r="AS14" s="48">
        <f t="shared" si="10"/>
        <v>0</v>
      </c>
      <c r="AT14" s="48">
        <f t="shared" si="11"/>
        <v>0</v>
      </c>
      <c r="AU14" s="48">
        <f t="shared" si="12"/>
        <v>0</v>
      </c>
      <c r="AV14" s="48">
        <f t="shared" si="13"/>
        <v>0</v>
      </c>
      <c r="AW14" s="48">
        <f t="shared" si="14"/>
        <v>0</v>
      </c>
      <c r="AX14" s="48">
        <f t="shared" si="15"/>
        <v>0</v>
      </c>
      <c r="AY14" s="48">
        <f t="shared" si="16"/>
        <v>0</v>
      </c>
      <c r="AZ14" s="48">
        <f t="shared" si="17"/>
        <v>0</v>
      </c>
      <c r="BA14" s="48">
        <f t="shared" si="18"/>
        <v>0</v>
      </c>
      <c r="BB14" s="48">
        <f t="shared" si="19"/>
        <v>0</v>
      </c>
      <c r="BC14" s="48">
        <f t="shared" si="20"/>
        <v>0</v>
      </c>
      <c r="BD14" s="48">
        <f t="shared" si="21"/>
        <v>0</v>
      </c>
      <c r="BE14" s="48">
        <f t="shared" si="22"/>
        <v>0</v>
      </c>
      <c r="BF14" s="48">
        <f t="shared" si="23"/>
        <v>0</v>
      </c>
      <c r="BG14" s="48">
        <f t="shared" si="24"/>
        <v>0</v>
      </c>
      <c r="BH14" s="48">
        <f t="shared" si="25"/>
        <v>0</v>
      </c>
      <c r="BI14" s="48">
        <f t="shared" si="26"/>
        <v>0</v>
      </c>
      <c r="BJ14" s="48">
        <f t="shared" si="27"/>
        <v>0</v>
      </c>
      <c r="BK14" s="48">
        <f t="shared" si="28"/>
        <v>0</v>
      </c>
      <c r="BL14" s="48">
        <f t="shared" si="29"/>
        <v>0</v>
      </c>
      <c r="BM14" s="48">
        <f t="shared" si="30"/>
        <v>0</v>
      </c>
      <c r="BN14" s="48">
        <f t="shared" si="31"/>
        <v>0</v>
      </c>
      <c r="BO14" s="48">
        <f t="shared" si="32"/>
        <v>0</v>
      </c>
      <c r="BP14" s="48">
        <f t="shared" si="33"/>
        <v>0</v>
      </c>
      <c r="BQ14" s="48">
        <f t="shared" si="34"/>
        <v>0</v>
      </c>
      <c r="BR14" s="48">
        <f t="shared" si="35"/>
        <v>0</v>
      </c>
      <c r="BS14" s="48">
        <f t="shared" si="36"/>
        <v>0</v>
      </c>
      <c r="BT14" s="48">
        <f t="shared" si="37"/>
        <v>0</v>
      </c>
      <c r="BU14" s="48">
        <f t="shared" si="38"/>
        <v>0</v>
      </c>
      <c r="BV14" s="48">
        <f t="shared" si="39"/>
        <v>0</v>
      </c>
      <c r="BW14" s="48">
        <f t="shared" si="40"/>
        <v>0</v>
      </c>
      <c r="BX14" s="48">
        <f t="shared" si="41"/>
        <v>0</v>
      </c>
      <c r="BY14" s="48">
        <f t="shared" si="42"/>
        <v>0</v>
      </c>
      <c r="BZ14" s="48">
        <f t="shared" si="43"/>
        <v>0</v>
      </c>
      <c r="CA14" s="48">
        <f t="shared" si="44"/>
        <v>0</v>
      </c>
      <c r="CB14" s="48">
        <f t="shared" si="45"/>
        <v>0</v>
      </c>
      <c r="CC14" s="48">
        <f t="shared" si="46"/>
        <v>0</v>
      </c>
      <c r="CD14" s="48">
        <f t="shared" si="47"/>
        <v>0</v>
      </c>
      <c r="CE14" s="48">
        <f t="shared" si="48"/>
        <v>0</v>
      </c>
      <c r="CF14" s="48">
        <f t="shared" si="49"/>
        <v>0</v>
      </c>
      <c r="CG14" s="48">
        <f t="shared" si="50"/>
        <v>0</v>
      </c>
      <c r="CH14" s="48">
        <f t="shared" si="51"/>
        <v>0</v>
      </c>
      <c r="CI14" s="48">
        <f t="shared" si="52"/>
        <v>0</v>
      </c>
      <c r="CJ14" s="48">
        <f t="shared" si="53"/>
        <v>0</v>
      </c>
      <c r="CK14" s="48">
        <f t="shared" si="54"/>
        <v>0</v>
      </c>
      <c r="CL14" s="48">
        <f t="shared" si="55"/>
        <v>0</v>
      </c>
      <c r="CM14" s="48">
        <f t="shared" si="56"/>
        <v>0</v>
      </c>
      <c r="CN14" s="48">
        <f t="shared" si="57"/>
        <v>0</v>
      </c>
      <c r="CO14" s="48">
        <f t="shared" si="58"/>
        <v>0</v>
      </c>
      <c r="CP14" s="48">
        <f t="shared" si="59"/>
        <v>0</v>
      </c>
      <c r="CQ14" s="48">
        <f t="shared" si="60"/>
        <v>0</v>
      </c>
      <c r="CR14" s="48">
        <f t="shared" si="61"/>
        <v>0</v>
      </c>
      <c r="CS14" s="48">
        <f t="shared" si="62"/>
        <v>0</v>
      </c>
      <c r="CT14" s="48">
        <f t="shared" si="63"/>
        <v>0</v>
      </c>
      <c r="CU14" s="48">
        <f t="shared" si="64"/>
        <v>0</v>
      </c>
      <c r="CV14" s="48">
        <f t="shared" si="65"/>
        <v>0</v>
      </c>
      <c r="CW14" s="48">
        <f t="shared" si="66"/>
        <v>0</v>
      </c>
      <c r="CX14" s="48">
        <f t="shared" si="67"/>
        <v>0</v>
      </c>
      <c r="CY14" s="48">
        <f t="shared" si="68"/>
        <v>0</v>
      </c>
      <c r="CZ14" s="48">
        <f t="shared" si="69"/>
        <v>0</v>
      </c>
      <c r="DA14" s="48">
        <f t="shared" si="70"/>
        <v>0</v>
      </c>
      <c r="DB14" s="48">
        <f t="shared" si="71"/>
        <v>0</v>
      </c>
      <c r="DC14" s="48">
        <f t="shared" si="72"/>
        <v>0</v>
      </c>
      <c r="DD14" s="48">
        <f t="shared" si="73"/>
        <v>0</v>
      </c>
      <c r="DE14" s="48">
        <f t="shared" si="74"/>
        <v>0</v>
      </c>
      <c r="DF14" s="48">
        <f t="shared" si="75"/>
        <v>0</v>
      </c>
      <c r="DG14" s="48">
        <f t="shared" si="76"/>
        <v>0</v>
      </c>
      <c r="DH14" s="48">
        <f t="shared" si="77"/>
        <v>0</v>
      </c>
      <c r="DI14" s="48">
        <f t="shared" si="78"/>
        <v>0</v>
      </c>
      <c r="DJ14" s="48">
        <f t="shared" si="79"/>
        <v>0</v>
      </c>
      <c r="DK14" s="48">
        <f t="shared" si="80"/>
        <v>0</v>
      </c>
      <c r="DL14" s="48">
        <f t="shared" si="81"/>
        <v>0</v>
      </c>
      <c r="DM14" s="48">
        <f t="shared" si="82"/>
        <v>0</v>
      </c>
      <c r="DN14" s="48">
        <f t="shared" si="83"/>
        <v>0</v>
      </c>
      <c r="DO14" s="48">
        <f t="shared" si="84"/>
        <v>0</v>
      </c>
      <c r="DP14" s="48">
        <f t="shared" si="85"/>
        <v>0</v>
      </c>
      <c r="DQ14" s="48">
        <f t="shared" si="86"/>
        <v>0</v>
      </c>
      <c r="DR14" s="48">
        <f t="shared" si="87"/>
        <v>0</v>
      </c>
      <c r="DS14" s="48">
        <f t="shared" si="88"/>
        <v>0</v>
      </c>
      <c r="DT14" s="48">
        <f t="shared" si="89"/>
        <v>0</v>
      </c>
      <c r="DU14" s="48">
        <f t="shared" si="90"/>
        <v>0</v>
      </c>
      <c r="DV14" s="48">
        <f t="shared" si="91"/>
        <v>0</v>
      </c>
      <c r="DW14" s="48">
        <f t="shared" si="92"/>
        <v>0</v>
      </c>
      <c r="DX14" s="48">
        <f t="shared" si="93"/>
        <v>0</v>
      </c>
      <c r="DY14" s="48">
        <f t="shared" si="94"/>
        <v>0</v>
      </c>
      <c r="DZ14" s="48">
        <f t="shared" si="95"/>
        <v>0</v>
      </c>
      <c r="EA14" s="48">
        <f t="shared" si="96"/>
        <v>0</v>
      </c>
      <c r="EB14" s="48">
        <f t="shared" si="97"/>
        <v>0</v>
      </c>
      <c r="EC14" s="48">
        <f t="shared" si="98"/>
        <v>0</v>
      </c>
      <c r="ED14" s="48">
        <f t="shared" si="99"/>
        <v>0</v>
      </c>
      <c r="EE14" s="48">
        <f t="shared" si="100"/>
        <v>0</v>
      </c>
      <c r="EF14" s="48">
        <f t="shared" si="101"/>
        <v>0</v>
      </c>
      <c r="EG14" s="48">
        <f t="shared" si="102"/>
        <v>0</v>
      </c>
      <c r="EH14" s="48">
        <f t="shared" si="103"/>
        <v>0</v>
      </c>
      <c r="EI14" s="48">
        <f t="shared" si="104"/>
        <v>0</v>
      </c>
      <c r="EJ14" s="48">
        <f t="shared" si="105"/>
        <v>0</v>
      </c>
      <c r="EK14" s="48">
        <f t="shared" si="106"/>
        <v>0</v>
      </c>
      <c r="EL14" s="48">
        <f t="shared" si="107"/>
        <v>0</v>
      </c>
      <c r="EM14" s="48">
        <f t="shared" si="108"/>
        <v>0</v>
      </c>
      <c r="EN14" s="48">
        <f t="shared" si="109"/>
        <v>0</v>
      </c>
      <c r="EO14" s="48">
        <f t="shared" si="110"/>
        <v>0</v>
      </c>
      <c r="EP14" s="48">
        <f t="shared" si="111"/>
        <v>0</v>
      </c>
      <c r="EQ14" s="48">
        <f t="shared" si="112"/>
        <v>0</v>
      </c>
      <c r="ER14" s="48">
        <f t="shared" si="113"/>
        <v>0</v>
      </c>
      <c r="ES14" s="48">
        <f t="shared" si="114"/>
        <v>0</v>
      </c>
      <c r="ET14" s="48">
        <f t="shared" si="115"/>
        <v>0</v>
      </c>
      <c r="EU14" s="48">
        <f t="shared" si="116"/>
        <v>0</v>
      </c>
      <c r="EV14" s="48">
        <f t="shared" si="117"/>
        <v>0</v>
      </c>
      <c r="EW14" s="48">
        <f t="shared" si="118"/>
        <v>0</v>
      </c>
      <c r="EX14" s="48">
        <f t="shared" si="119"/>
        <v>0</v>
      </c>
      <c r="EY14" s="48">
        <f t="shared" si="120"/>
        <v>0</v>
      </c>
      <c r="EZ14" s="48">
        <f t="shared" si="121"/>
        <v>0</v>
      </c>
      <c r="FA14" s="48">
        <f t="shared" si="122"/>
        <v>0</v>
      </c>
      <c r="FB14" s="48">
        <f t="shared" si="123"/>
        <v>0</v>
      </c>
      <c r="FC14" s="48">
        <f t="shared" si="124"/>
        <v>0</v>
      </c>
      <c r="FD14" s="48">
        <f t="shared" si="125"/>
        <v>0</v>
      </c>
      <c r="FE14" s="48">
        <f t="shared" si="126"/>
        <v>0</v>
      </c>
      <c r="FF14" s="48">
        <f t="shared" si="127"/>
        <v>0</v>
      </c>
      <c r="FG14" s="48">
        <f t="shared" si="128"/>
        <v>0</v>
      </c>
      <c r="FH14" s="48">
        <f t="shared" si="129"/>
        <v>0</v>
      </c>
      <c r="FI14" s="48">
        <f t="shared" si="130"/>
        <v>0</v>
      </c>
      <c r="FJ14" s="48">
        <f t="shared" si="131"/>
        <v>0</v>
      </c>
      <c r="FK14" s="48">
        <f t="shared" si="132"/>
        <v>0</v>
      </c>
      <c r="FL14" s="48">
        <f t="shared" si="133"/>
        <v>0</v>
      </c>
      <c r="FM14" s="48">
        <f t="shared" si="134"/>
        <v>0</v>
      </c>
      <c r="FN14" s="48">
        <f t="shared" si="135"/>
        <v>0</v>
      </c>
      <c r="FO14" s="48">
        <f t="shared" si="136"/>
        <v>0</v>
      </c>
      <c r="FP14" s="48">
        <f t="shared" si="137"/>
        <v>0</v>
      </c>
      <c r="FQ14" s="48">
        <f t="shared" si="138"/>
        <v>0</v>
      </c>
      <c r="FR14" s="48">
        <f t="shared" si="139"/>
        <v>0</v>
      </c>
      <c r="FS14" s="48">
        <f t="shared" si="140"/>
        <v>0</v>
      </c>
      <c r="FT14" s="48">
        <f t="shared" si="141"/>
        <v>0</v>
      </c>
      <c r="FU14" s="48">
        <f t="shared" si="142"/>
        <v>0</v>
      </c>
      <c r="FV14" s="48">
        <f t="shared" si="143"/>
        <v>0</v>
      </c>
      <c r="FW14" s="48">
        <f t="shared" si="144"/>
        <v>0</v>
      </c>
      <c r="FX14" s="48">
        <f t="shared" si="145"/>
        <v>0</v>
      </c>
      <c r="FY14" s="48">
        <f t="shared" si="146"/>
        <v>0</v>
      </c>
      <c r="FZ14" s="48">
        <f t="shared" si="147"/>
        <v>0</v>
      </c>
      <c r="GA14" s="48">
        <f t="shared" si="148"/>
        <v>0</v>
      </c>
      <c r="GB14" s="48">
        <f t="shared" si="149"/>
        <v>0</v>
      </c>
      <c r="GC14" s="48">
        <f t="shared" si="150"/>
        <v>0</v>
      </c>
      <c r="GG14">
        <f t="shared" si="151"/>
        <v>0</v>
      </c>
    </row>
    <row r="15" spans="1:221" x14ac:dyDescent="0.25">
      <c r="A15" s="690"/>
      <c r="B15" s="690"/>
      <c r="C15" s="690"/>
      <c r="D15" s="690"/>
      <c r="E15" s="690"/>
      <c r="F15" s="690"/>
      <c r="G15" s="889"/>
      <c r="H15" s="690"/>
      <c r="I15" s="690"/>
      <c r="J15" s="690"/>
      <c r="K15" s="690"/>
      <c r="L15" s="690"/>
      <c r="M15" s="690"/>
      <c r="N15" s="507" t="str">
        <f t="shared" si="159"/>
        <v/>
      </c>
      <c r="O15" s="690"/>
      <c r="P15" s="507" t="str">
        <f t="shared" si="158"/>
        <v/>
      </c>
      <c r="Q15" s="690"/>
      <c r="R15" s="690"/>
      <c r="S15" s="690"/>
      <c r="T15" s="690"/>
      <c r="U15">
        <f t="shared" si="152"/>
        <v>0</v>
      </c>
      <c r="V15">
        <f t="shared" si="153"/>
        <v>0</v>
      </c>
      <c r="X15">
        <f t="shared" si="154"/>
        <v>0</v>
      </c>
      <c r="Y15">
        <f t="shared" si="155"/>
        <v>0</v>
      </c>
      <c r="Z15">
        <f t="shared" si="156"/>
        <v>0</v>
      </c>
      <c r="AA15">
        <f t="shared" si="157"/>
        <v>0</v>
      </c>
      <c r="AB15" s="25"/>
      <c r="AC15" s="25"/>
      <c r="AD15" s="25"/>
      <c r="AE15" t="s">
        <v>666</v>
      </c>
      <c r="AF15" s="48" t="s">
        <v>667</v>
      </c>
      <c r="AG15" s="689"/>
      <c r="AH15" s="689"/>
      <c r="AI15" s="48">
        <f t="shared" si="0"/>
        <v>0</v>
      </c>
      <c r="AJ15" s="48">
        <f t="shared" si="1"/>
        <v>0</v>
      </c>
      <c r="AK15" s="48">
        <f t="shared" si="2"/>
        <v>0</v>
      </c>
      <c r="AL15" s="48">
        <f t="shared" si="3"/>
        <v>0</v>
      </c>
      <c r="AM15" s="48">
        <f t="shared" si="4"/>
        <v>0</v>
      </c>
      <c r="AN15" s="48">
        <f t="shared" si="5"/>
        <v>0</v>
      </c>
      <c r="AO15" s="48">
        <f t="shared" si="6"/>
        <v>0</v>
      </c>
      <c r="AP15" s="48">
        <f t="shared" si="7"/>
        <v>0</v>
      </c>
      <c r="AQ15" s="48">
        <f t="shared" si="8"/>
        <v>0</v>
      </c>
      <c r="AR15" s="48">
        <f t="shared" si="9"/>
        <v>0</v>
      </c>
      <c r="AS15" s="48">
        <f t="shared" si="10"/>
        <v>0</v>
      </c>
      <c r="AT15" s="48">
        <f t="shared" si="11"/>
        <v>0</v>
      </c>
      <c r="AU15" s="48">
        <f t="shared" si="12"/>
        <v>0</v>
      </c>
      <c r="AV15" s="48">
        <f t="shared" si="13"/>
        <v>0</v>
      </c>
      <c r="AW15" s="48">
        <f t="shared" si="14"/>
        <v>0</v>
      </c>
      <c r="AX15" s="48">
        <f t="shared" si="15"/>
        <v>0</v>
      </c>
      <c r="AY15" s="48">
        <f t="shared" si="16"/>
        <v>0</v>
      </c>
      <c r="AZ15" s="48">
        <f t="shared" si="17"/>
        <v>0</v>
      </c>
      <c r="BA15" s="48">
        <f t="shared" si="18"/>
        <v>0</v>
      </c>
      <c r="BB15" s="48">
        <f t="shared" si="19"/>
        <v>0</v>
      </c>
      <c r="BC15" s="48">
        <f t="shared" si="20"/>
        <v>0</v>
      </c>
      <c r="BD15" s="48">
        <f t="shared" si="21"/>
        <v>0</v>
      </c>
      <c r="BE15" s="48">
        <f t="shared" si="22"/>
        <v>0</v>
      </c>
      <c r="BF15" s="48">
        <f t="shared" si="23"/>
        <v>0</v>
      </c>
      <c r="BG15" s="48">
        <f t="shared" si="24"/>
        <v>0</v>
      </c>
      <c r="BH15" s="48">
        <f t="shared" si="25"/>
        <v>0</v>
      </c>
      <c r="BI15" s="48">
        <f t="shared" si="26"/>
        <v>0</v>
      </c>
      <c r="BJ15" s="48">
        <f t="shared" si="27"/>
        <v>0</v>
      </c>
      <c r="BK15" s="48">
        <f t="shared" si="28"/>
        <v>0</v>
      </c>
      <c r="BL15" s="48">
        <f t="shared" si="29"/>
        <v>0</v>
      </c>
      <c r="BM15" s="48">
        <f t="shared" si="30"/>
        <v>0</v>
      </c>
      <c r="BN15" s="48">
        <f t="shared" si="31"/>
        <v>0</v>
      </c>
      <c r="BO15" s="48">
        <f t="shared" si="32"/>
        <v>0</v>
      </c>
      <c r="BP15" s="48">
        <f t="shared" si="33"/>
        <v>0</v>
      </c>
      <c r="BQ15" s="48">
        <f t="shared" si="34"/>
        <v>0</v>
      </c>
      <c r="BR15" s="48">
        <f t="shared" si="35"/>
        <v>0</v>
      </c>
      <c r="BS15" s="48">
        <f t="shared" si="36"/>
        <v>0</v>
      </c>
      <c r="BT15" s="48">
        <f t="shared" si="37"/>
        <v>0</v>
      </c>
      <c r="BU15" s="48">
        <f t="shared" si="38"/>
        <v>0</v>
      </c>
      <c r="BV15" s="48">
        <f t="shared" si="39"/>
        <v>0</v>
      </c>
      <c r="BW15" s="48">
        <f t="shared" si="40"/>
        <v>0</v>
      </c>
      <c r="BX15" s="48">
        <f t="shared" si="41"/>
        <v>0</v>
      </c>
      <c r="BY15" s="48">
        <f t="shared" si="42"/>
        <v>0</v>
      </c>
      <c r="BZ15" s="48">
        <f t="shared" si="43"/>
        <v>0</v>
      </c>
      <c r="CA15" s="48">
        <f t="shared" si="44"/>
        <v>0</v>
      </c>
      <c r="CB15" s="48">
        <f t="shared" si="45"/>
        <v>0</v>
      </c>
      <c r="CC15" s="48">
        <f t="shared" si="46"/>
        <v>0</v>
      </c>
      <c r="CD15" s="48">
        <f t="shared" si="47"/>
        <v>0</v>
      </c>
      <c r="CE15" s="48">
        <f t="shared" si="48"/>
        <v>0</v>
      </c>
      <c r="CF15" s="48">
        <f t="shared" si="49"/>
        <v>0</v>
      </c>
      <c r="CG15" s="48">
        <f t="shared" si="50"/>
        <v>0</v>
      </c>
      <c r="CH15" s="48">
        <f t="shared" si="51"/>
        <v>0</v>
      </c>
      <c r="CI15" s="48">
        <f t="shared" si="52"/>
        <v>0</v>
      </c>
      <c r="CJ15" s="48">
        <f t="shared" si="53"/>
        <v>0</v>
      </c>
      <c r="CK15" s="48">
        <f t="shared" si="54"/>
        <v>0</v>
      </c>
      <c r="CL15" s="48">
        <f t="shared" si="55"/>
        <v>0</v>
      </c>
      <c r="CM15" s="48">
        <f t="shared" si="56"/>
        <v>0</v>
      </c>
      <c r="CN15" s="48">
        <f t="shared" si="57"/>
        <v>0</v>
      </c>
      <c r="CO15" s="48">
        <f t="shared" si="58"/>
        <v>0</v>
      </c>
      <c r="CP15" s="48">
        <f t="shared" si="59"/>
        <v>0</v>
      </c>
      <c r="CQ15" s="48">
        <f t="shared" si="60"/>
        <v>0</v>
      </c>
      <c r="CR15" s="48">
        <f t="shared" si="61"/>
        <v>0</v>
      </c>
      <c r="CS15" s="48">
        <f t="shared" si="62"/>
        <v>0</v>
      </c>
      <c r="CT15" s="48">
        <f t="shared" si="63"/>
        <v>0</v>
      </c>
      <c r="CU15" s="48">
        <f t="shared" si="64"/>
        <v>0</v>
      </c>
      <c r="CV15" s="48">
        <f t="shared" si="65"/>
        <v>0</v>
      </c>
      <c r="CW15" s="48">
        <f t="shared" si="66"/>
        <v>0</v>
      </c>
      <c r="CX15" s="48">
        <f t="shared" si="67"/>
        <v>0</v>
      </c>
      <c r="CY15" s="48">
        <f t="shared" si="68"/>
        <v>0</v>
      </c>
      <c r="CZ15" s="48">
        <f t="shared" si="69"/>
        <v>0</v>
      </c>
      <c r="DA15" s="48">
        <f t="shared" si="70"/>
        <v>0</v>
      </c>
      <c r="DB15" s="48">
        <f t="shared" si="71"/>
        <v>0</v>
      </c>
      <c r="DC15" s="48">
        <f t="shared" si="72"/>
        <v>0</v>
      </c>
      <c r="DD15" s="48">
        <f t="shared" si="73"/>
        <v>0</v>
      </c>
      <c r="DE15" s="48">
        <f t="shared" si="74"/>
        <v>0</v>
      </c>
      <c r="DF15" s="48">
        <f t="shared" si="75"/>
        <v>0</v>
      </c>
      <c r="DG15" s="48">
        <f t="shared" si="76"/>
        <v>0</v>
      </c>
      <c r="DH15" s="48">
        <f t="shared" si="77"/>
        <v>0</v>
      </c>
      <c r="DI15" s="48">
        <f t="shared" si="78"/>
        <v>0</v>
      </c>
      <c r="DJ15" s="48">
        <f t="shared" si="79"/>
        <v>0</v>
      </c>
      <c r="DK15" s="48">
        <f t="shared" si="80"/>
        <v>0</v>
      </c>
      <c r="DL15" s="48">
        <f t="shared" si="81"/>
        <v>0</v>
      </c>
      <c r="DM15" s="48">
        <f t="shared" si="82"/>
        <v>0</v>
      </c>
      <c r="DN15" s="48">
        <f t="shared" si="83"/>
        <v>0</v>
      </c>
      <c r="DO15" s="48">
        <f t="shared" si="84"/>
        <v>0</v>
      </c>
      <c r="DP15" s="48">
        <f t="shared" si="85"/>
        <v>0</v>
      </c>
      <c r="DQ15" s="48">
        <f t="shared" si="86"/>
        <v>0</v>
      </c>
      <c r="DR15" s="48">
        <f t="shared" si="87"/>
        <v>0</v>
      </c>
      <c r="DS15" s="48">
        <f t="shared" si="88"/>
        <v>0</v>
      </c>
      <c r="DT15" s="48">
        <f t="shared" si="89"/>
        <v>0</v>
      </c>
      <c r="DU15" s="48">
        <f t="shared" si="90"/>
        <v>0</v>
      </c>
      <c r="DV15" s="48">
        <f t="shared" si="91"/>
        <v>0</v>
      </c>
      <c r="DW15" s="48">
        <f t="shared" si="92"/>
        <v>0</v>
      </c>
      <c r="DX15" s="48">
        <f t="shared" si="93"/>
        <v>0</v>
      </c>
      <c r="DY15" s="48">
        <f t="shared" si="94"/>
        <v>0</v>
      </c>
      <c r="DZ15" s="48">
        <f t="shared" si="95"/>
        <v>0</v>
      </c>
      <c r="EA15" s="48">
        <f t="shared" si="96"/>
        <v>0</v>
      </c>
      <c r="EB15" s="48">
        <f t="shared" si="97"/>
        <v>0</v>
      </c>
      <c r="EC15" s="48">
        <f t="shared" si="98"/>
        <v>0</v>
      </c>
      <c r="ED15" s="48">
        <f t="shared" si="99"/>
        <v>0</v>
      </c>
      <c r="EE15" s="48">
        <f t="shared" si="100"/>
        <v>0</v>
      </c>
      <c r="EF15" s="48">
        <f t="shared" si="101"/>
        <v>0</v>
      </c>
      <c r="EG15" s="48">
        <f t="shared" si="102"/>
        <v>0</v>
      </c>
      <c r="EH15" s="48">
        <f t="shared" si="103"/>
        <v>0</v>
      </c>
      <c r="EI15" s="48">
        <f t="shared" si="104"/>
        <v>0</v>
      </c>
      <c r="EJ15" s="48">
        <f t="shared" si="105"/>
        <v>0</v>
      </c>
      <c r="EK15" s="48">
        <f t="shared" si="106"/>
        <v>0</v>
      </c>
      <c r="EL15" s="48">
        <f t="shared" si="107"/>
        <v>0</v>
      </c>
      <c r="EM15" s="48">
        <f t="shared" si="108"/>
        <v>0</v>
      </c>
      <c r="EN15" s="48">
        <f t="shared" si="109"/>
        <v>0</v>
      </c>
      <c r="EO15" s="48">
        <f t="shared" si="110"/>
        <v>0</v>
      </c>
      <c r="EP15" s="48">
        <f t="shared" si="111"/>
        <v>0</v>
      </c>
      <c r="EQ15" s="48">
        <f t="shared" si="112"/>
        <v>0</v>
      </c>
      <c r="ER15" s="48">
        <f t="shared" si="113"/>
        <v>0</v>
      </c>
      <c r="ES15" s="48">
        <f t="shared" si="114"/>
        <v>0</v>
      </c>
      <c r="ET15" s="48">
        <f t="shared" si="115"/>
        <v>0</v>
      </c>
      <c r="EU15" s="48">
        <f t="shared" si="116"/>
        <v>0</v>
      </c>
      <c r="EV15" s="48">
        <f t="shared" si="117"/>
        <v>0</v>
      </c>
      <c r="EW15" s="48">
        <f t="shared" si="118"/>
        <v>0</v>
      </c>
      <c r="EX15" s="48">
        <f t="shared" si="119"/>
        <v>0</v>
      </c>
      <c r="EY15" s="48">
        <f t="shared" si="120"/>
        <v>0</v>
      </c>
      <c r="EZ15" s="48">
        <f t="shared" si="121"/>
        <v>0</v>
      </c>
      <c r="FA15" s="48">
        <f t="shared" si="122"/>
        <v>0</v>
      </c>
      <c r="FB15" s="48">
        <f t="shared" si="123"/>
        <v>0</v>
      </c>
      <c r="FC15" s="48">
        <f t="shared" si="124"/>
        <v>0</v>
      </c>
      <c r="FD15" s="48">
        <f t="shared" si="125"/>
        <v>0</v>
      </c>
      <c r="FE15" s="48">
        <f t="shared" si="126"/>
        <v>0</v>
      </c>
      <c r="FF15" s="48">
        <f t="shared" si="127"/>
        <v>0</v>
      </c>
      <c r="FG15" s="48">
        <f t="shared" si="128"/>
        <v>0</v>
      </c>
      <c r="FH15" s="48">
        <f t="shared" si="129"/>
        <v>0</v>
      </c>
      <c r="FI15" s="48">
        <f t="shared" si="130"/>
        <v>0</v>
      </c>
      <c r="FJ15" s="48">
        <f t="shared" si="131"/>
        <v>0</v>
      </c>
      <c r="FK15" s="48">
        <f t="shared" si="132"/>
        <v>0</v>
      </c>
      <c r="FL15" s="48">
        <f t="shared" si="133"/>
        <v>0</v>
      </c>
      <c r="FM15" s="48">
        <f t="shared" si="134"/>
        <v>0</v>
      </c>
      <c r="FN15" s="48">
        <f t="shared" si="135"/>
        <v>0</v>
      </c>
      <c r="FO15" s="48">
        <f t="shared" si="136"/>
        <v>0</v>
      </c>
      <c r="FP15" s="48">
        <f t="shared" si="137"/>
        <v>0</v>
      </c>
      <c r="FQ15" s="48">
        <f t="shared" si="138"/>
        <v>0</v>
      </c>
      <c r="FR15" s="48">
        <f t="shared" si="139"/>
        <v>0</v>
      </c>
      <c r="FS15" s="48">
        <f t="shared" si="140"/>
        <v>0</v>
      </c>
      <c r="FT15" s="48">
        <f t="shared" si="141"/>
        <v>0</v>
      </c>
      <c r="FU15" s="48">
        <f t="shared" si="142"/>
        <v>0</v>
      </c>
      <c r="FV15" s="48">
        <f t="shared" si="143"/>
        <v>0</v>
      </c>
      <c r="FW15" s="48">
        <f t="shared" si="144"/>
        <v>0</v>
      </c>
      <c r="FX15" s="48">
        <f t="shared" si="145"/>
        <v>0</v>
      </c>
      <c r="FY15" s="48">
        <f t="shared" si="146"/>
        <v>0</v>
      </c>
      <c r="FZ15" s="48">
        <f t="shared" si="147"/>
        <v>0</v>
      </c>
      <c r="GA15" s="48">
        <f t="shared" si="148"/>
        <v>0</v>
      </c>
      <c r="GB15" s="48">
        <f t="shared" si="149"/>
        <v>0</v>
      </c>
      <c r="GC15" s="48">
        <f t="shared" si="150"/>
        <v>0</v>
      </c>
      <c r="GG15">
        <f t="shared" si="151"/>
        <v>0</v>
      </c>
    </row>
    <row r="16" spans="1:221" x14ac:dyDescent="0.25">
      <c r="A16" s="690"/>
      <c r="B16" s="690"/>
      <c r="C16" s="690"/>
      <c r="D16" s="690"/>
      <c r="E16" s="690"/>
      <c r="F16" s="690"/>
      <c r="G16" s="889"/>
      <c r="H16" s="690"/>
      <c r="I16" s="690"/>
      <c r="J16" s="690"/>
      <c r="K16" s="690"/>
      <c r="L16" s="690"/>
      <c r="M16" s="690"/>
      <c r="N16" s="507" t="str">
        <f t="shared" si="159"/>
        <v/>
      </c>
      <c r="O16" s="690"/>
      <c r="P16" s="507" t="str">
        <f t="shared" si="158"/>
        <v/>
      </c>
      <c r="Q16" s="690"/>
      <c r="R16" s="690"/>
      <c r="S16" s="690"/>
      <c r="T16" s="690"/>
      <c r="U16">
        <f t="shared" si="152"/>
        <v>0</v>
      </c>
      <c r="V16">
        <f t="shared" si="153"/>
        <v>0</v>
      </c>
      <c r="X16">
        <f t="shared" si="154"/>
        <v>0</v>
      </c>
      <c r="Y16">
        <f t="shared" si="155"/>
        <v>0</v>
      </c>
      <c r="Z16">
        <f t="shared" si="156"/>
        <v>0</v>
      </c>
      <c r="AA16">
        <f t="shared" si="157"/>
        <v>0</v>
      </c>
      <c r="AB16" s="25"/>
      <c r="AC16" s="25"/>
      <c r="AD16" s="25"/>
      <c r="AE16" t="s">
        <v>668</v>
      </c>
      <c r="AF16" s="48" t="s">
        <v>669</v>
      </c>
      <c r="AG16" s="689"/>
      <c r="AH16" s="689"/>
      <c r="AI16" s="48">
        <f t="shared" si="0"/>
        <v>0</v>
      </c>
      <c r="AJ16" s="48">
        <f t="shared" si="1"/>
        <v>0</v>
      </c>
      <c r="AK16" s="48">
        <f t="shared" si="2"/>
        <v>0</v>
      </c>
      <c r="AL16" s="48">
        <f t="shared" si="3"/>
        <v>0</v>
      </c>
      <c r="AM16" s="48">
        <f t="shared" si="4"/>
        <v>0</v>
      </c>
      <c r="AN16" s="48">
        <f t="shared" si="5"/>
        <v>0</v>
      </c>
      <c r="AO16" s="48">
        <f t="shared" si="6"/>
        <v>0</v>
      </c>
      <c r="AP16" s="48">
        <f t="shared" si="7"/>
        <v>0</v>
      </c>
      <c r="AQ16" s="48">
        <f t="shared" si="8"/>
        <v>0</v>
      </c>
      <c r="AR16" s="48">
        <f t="shared" si="9"/>
        <v>0</v>
      </c>
      <c r="AS16" s="48">
        <f t="shared" si="10"/>
        <v>0</v>
      </c>
      <c r="AT16" s="48">
        <f t="shared" si="11"/>
        <v>0</v>
      </c>
      <c r="AU16" s="48">
        <f t="shared" si="12"/>
        <v>0</v>
      </c>
      <c r="AV16" s="48">
        <f t="shared" si="13"/>
        <v>0</v>
      </c>
      <c r="AW16" s="48">
        <f t="shared" si="14"/>
        <v>0</v>
      </c>
      <c r="AX16" s="48">
        <f t="shared" si="15"/>
        <v>0</v>
      </c>
      <c r="AY16" s="48">
        <f t="shared" si="16"/>
        <v>0</v>
      </c>
      <c r="AZ16" s="48">
        <f t="shared" si="17"/>
        <v>0</v>
      </c>
      <c r="BA16" s="48">
        <f t="shared" si="18"/>
        <v>0</v>
      </c>
      <c r="BB16" s="48">
        <f t="shared" si="19"/>
        <v>0</v>
      </c>
      <c r="BC16" s="48">
        <f t="shared" si="20"/>
        <v>0</v>
      </c>
      <c r="BD16" s="48">
        <f t="shared" si="21"/>
        <v>0</v>
      </c>
      <c r="BE16" s="48">
        <f t="shared" si="22"/>
        <v>0</v>
      </c>
      <c r="BF16" s="48">
        <f t="shared" si="23"/>
        <v>0</v>
      </c>
      <c r="BG16" s="48">
        <f t="shared" si="24"/>
        <v>0</v>
      </c>
      <c r="BH16" s="48">
        <f t="shared" si="25"/>
        <v>0</v>
      </c>
      <c r="BI16" s="48">
        <f t="shared" si="26"/>
        <v>0</v>
      </c>
      <c r="BJ16" s="48">
        <f t="shared" si="27"/>
        <v>0</v>
      </c>
      <c r="BK16" s="48">
        <f t="shared" si="28"/>
        <v>0</v>
      </c>
      <c r="BL16" s="48">
        <f t="shared" si="29"/>
        <v>0</v>
      </c>
      <c r="BM16" s="48">
        <f t="shared" si="30"/>
        <v>0</v>
      </c>
      <c r="BN16" s="48">
        <f t="shared" si="31"/>
        <v>0</v>
      </c>
      <c r="BO16" s="48">
        <f t="shared" si="32"/>
        <v>0</v>
      </c>
      <c r="BP16" s="48">
        <f t="shared" si="33"/>
        <v>0</v>
      </c>
      <c r="BQ16" s="48">
        <f t="shared" si="34"/>
        <v>0</v>
      </c>
      <c r="BR16" s="48">
        <f t="shared" si="35"/>
        <v>0</v>
      </c>
      <c r="BS16" s="48">
        <f t="shared" si="36"/>
        <v>0</v>
      </c>
      <c r="BT16" s="48">
        <f t="shared" si="37"/>
        <v>0</v>
      </c>
      <c r="BU16" s="48">
        <f t="shared" si="38"/>
        <v>0</v>
      </c>
      <c r="BV16" s="48">
        <f t="shared" si="39"/>
        <v>0</v>
      </c>
      <c r="BW16" s="48">
        <f t="shared" si="40"/>
        <v>0</v>
      </c>
      <c r="BX16" s="48">
        <f t="shared" si="41"/>
        <v>0</v>
      </c>
      <c r="BY16" s="48">
        <f t="shared" si="42"/>
        <v>0</v>
      </c>
      <c r="BZ16" s="48">
        <f t="shared" si="43"/>
        <v>0</v>
      </c>
      <c r="CA16" s="48">
        <f t="shared" si="44"/>
        <v>0</v>
      </c>
      <c r="CB16" s="48">
        <f t="shared" si="45"/>
        <v>0</v>
      </c>
      <c r="CC16" s="48">
        <f t="shared" si="46"/>
        <v>0</v>
      </c>
      <c r="CD16" s="48">
        <f t="shared" si="47"/>
        <v>0</v>
      </c>
      <c r="CE16" s="48">
        <f t="shared" si="48"/>
        <v>0</v>
      </c>
      <c r="CF16" s="48">
        <f t="shared" si="49"/>
        <v>0</v>
      </c>
      <c r="CG16" s="48">
        <f t="shared" si="50"/>
        <v>0</v>
      </c>
      <c r="CH16" s="48">
        <f t="shared" si="51"/>
        <v>0</v>
      </c>
      <c r="CI16" s="48">
        <f t="shared" si="52"/>
        <v>0</v>
      </c>
      <c r="CJ16" s="48">
        <f t="shared" si="53"/>
        <v>0</v>
      </c>
      <c r="CK16" s="48">
        <f t="shared" si="54"/>
        <v>0</v>
      </c>
      <c r="CL16" s="48">
        <f t="shared" si="55"/>
        <v>0</v>
      </c>
      <c r="CM16" s="48">
        <f t="shared" si="56"/>
        <v>0</v>
      </c>
      <c r="CN16" s="48">
        <f t="shared" si="57"/>
        <v>0</v>
      </c>
      <c r="CO16" s="48">
        <f t="shared" si="58"/>
        <v>0</v>
      </c>
      <c r="CP16" s="48">
        <f t="shared" si="59"/>
        <v>0</v>
      </c>
      <c r="CQ16" s="48">
        <f t="shared" si="60"/>
        <v>0</v>
      </c>
      <c r="CR16" s="48">
        <f t="shared" si="61"/>
        <v>0</v>
      </c>
      <c r="CS16" s="48">
        <f t="shared" si="62"/>
        <v>0</v>
      </c>
      <c r="CT16" s="48">
        <f t="shared" si="63"/>
        <v>0</v>
      </c>
      <c r="CU16" s="48">
        <f t="shared" si="64"/>
        <v>0</v>
      </c>
      <c r="CV16" s="48">
        <f t="shared" si="65"/>
        <v>0</v>
      </c>
      <c r="CW16" s="48">
        <f t="shared" si="66"/>
        <v>0</v>
      </c>
      <c r="CX16" s="48">
        <f t="shared" si="67"/>
        <v>0</v>
      </c>
      <c r="CY16" s="48">
        <f t="shared" si="68"/>
        <v>0</v>
      </c>
      <c r="CZ16" s="48">
        <f t="shared" si="69"/>
        <v>0</v>
      </c>
      <c r="DA16" s="48">
        <f t="shared" si="70"/>
        <v>0</v>
      </c>
      <c r="DB16" s="48">
        <f t="shared" si="71"/>
        <v>0</v>
      </c>
      <c r="DC16" s="48">
        <f t="shared" si="72"/>
        <v>0</v>
      </c>
      <c r="DD16" s="48">
        <f t="shared" si="73"/>
        <v>0</v>
      </c>
      <c r="DE16" s="48">
        <f t="shared" si="74"/>
        <v>0</v>
      </c>
      <c r="DF16" s="48">
        <f t="shared" si="75"/>
        <v>0</v>
      </c>
      <c r="DG16" s="48">
        <f t="shared" si="76"/>
        <v>0</v>
      </c>
      <c r="DH16" s="48">
        <f t="shared" si="77"/>
        <v>0</v>
      </c>
      <c r="DI16" s="48">
        <f t="shared" si="78"/>
        <v>0</v>
      </c>
      <c r="DJ16" s="48">
        <f t="shared" si="79"/>
        <v>0</v>
      </c>
      <c r="DK16" s="48">
        <f t="shared" si="80"/>
        <v>0</v>
      </c>
      <c r="DL16" s="48">
        <f t="shared" si="81"/>
        <v>0</v>
      </c>
      <c r="DM16" s="48">
        <f t="shared" si="82"/>
        <v>0</v>
      </c>
      <c r="DN16" s="48">
        <f t="shared" si="83"/>
        <v>0</v>
      </c>
      <c r="DO16" s="48">
        <f t="shared" si="84"/>
        <v>0</v>
      </c>
      <c r="DP16" s="48">
        <f t="shared" si="85"/>
        <v>0</v>
      </c>
      <c r="DQ16" s="48">
        <f t="shared" si="86"/>
        <v>0</v>
      </c>
      <c r="DR16" s="48">
        <f t="shared" si="87"/>
        <v>0</v>
      </c>
      <c r="DS16" s="48">
        <f t="shared" si="88"/>
        <v>0</v>
      </c>
      <c r="DT16" s="48">
        <f t="shared" si="89"/>
        <v>0</v>
      </c>
      <c r="DU16" s="48">
        <f t="shared" si="90"/>
        <v>0</v>
      </c>
      <c r="DV16" s="48">
        <f t="shared" si="91"/>
        <v>0</v>
      </c>
      <c r="DW16" s="48">
        <f t="shared" si="92"/>
        <v>0</v>
      </c>
      <c r="DX16" s="48">
        <f t="shared" si="93"/>
        <v>0</v>
      </c>
      <c r="DY16" s="48">
        <f t="shared" si="94"/>
        <v>0</v>
      </c>
      <c r="DZ16" s="48">
        <f t="shared" si="95"/>
        <v>0</v>
      </c>
      <c r="EA16" s="48">
        <f t="shared" si="96"/>
        <v>0</v>
      </c>
      <c r="EB16" s="48">
        <f t="shared" si="97"/>
        <v>0</v>
      </c>
      <c r="EC16" s="48">
        <f t="shared" si="98"/>
        <v>0</v>
      </c>
      <c r="ED16" s="48">
        <f t="shared" si="99"/>
        <v>0</v>
      </c>
      <c r="EE16" s="48">
        <f t="shared" si="100"/>
        <v>0</v>
      </c>
      <c r="EF16" s="48">
        <f t="shared" si="101"/>
        <v>0</v>
      </c>
      <c r="EG16" s="48">
        <f t="shared" si="102"/>
        <v>0</v>
      </c>
      <c r="EH16" s="48">
        <f t="shared" si="103"/>
        <v>0</v>
      </c>
      <c r="EI16" s="48">
        <f t="shared" si="104"/>
        <v>0</v>
      </c>
      <c r="EJ16" s="48">
        <f t="shared" si="105"/>
        <v>0</v>
      </c>
      <c r="EK16" s="48">
        <f t="shared" si="106"/>
        <v>0</v>
      </c>
      <c r="EL16" s="48">
        <f t="shared" si="107"/>
        <v>0</v>
      </c>
      <c r="EM16" s="48">
        <f t="shared" si="108"/>
        <v>0</v>
      </c>
      <c r="EN16" s="48">
        <f t="shared" si="109"/>
        <v>0</v>
      </c>
      <c r="EO16" s="48">
        <f t="shared" si="110"/>
        <v>0</v>
      </c>
      <c r="EP16" s="48">
        <f t="shared" si="111"/>
        <v>0</v>
      </c>
      <c r="EQ16" s="48">
        <f t="shared" si="112"/>
        <v>0</v>
      </c>
      <c r="ER16" s="48">
        <f t="shared" si="113"/>
        <v>0</v>
      </c>
      <c r="ES16" s="48">
        <f t="shared" si="114"/>
        <v>0</v>
      </c>
      <c r="ET16" s="48">
        <f t="shared" si="115"/>
        <v>0</v>
      </c>
      <c r="EU16" s="48">
        <f t="shared" si="116"/>
        <v>0</v>
      </c>
      <c r="EV16" s="48">
        <f t="shared" si="117"/>
        <v>0</v>
      </c>
      <c r="EW16" s="48">
        <f t="shared" si="118"/>
        <v>0</v>
      </c>
      <c r="EX16" s="48">
        <f t="shared" si="119"/>
        <v>0</v>
      </c>
      <c r="EY16" s="48">
        <f t="shared" si="120"/>
        <v>0</v>
      </c>
      <c r="EZ16" s="48">
        <f t="shared" si="121"/>
        <v>0</v>
      </c>
      <c r="FA16" s="48">
        <f t="shared" si="122"/>
        <v>0</v>
      </c>
      <c r="FB16" s="48">
        <f t="shared" si="123"/>
        <v>0</v>
      </c>
      <c r="FC16" s="48">
        <f t="shared" si="124"/>
        <v>0</v>
      </c>
      <c r="FD16" s="48">
        <f t="shared" si="125"/>
        <v>0</v>
      </c>
      <c r="FE16" s="48">
        <f t="shared" si="126"/>
        <v>0</v>
      </c>
      <c r="FF16" s="48">
        <f t="shared" si="127"/>
        <v>0</v>
      </c>
      <c r="FG16" s="48">
        <f t="shared" si="128"/>
        <v>0</v>
      </c>
      <c r="FH16" s="48">
        <f t="shared" si="129"/>
        <v>0</v>
      </c>
      <c r="FI16" s="48">
        <f t="shared" si="130"/>
        <v>0</v>
      </c>
      <c r="FJ16" s="48">
        <f t="shared" si="131"/>
        <v>0</v>
      </c>
      <c r="FK16" s="48">
        <f t="shared" si="132"/>
        <v>0</v>
      </c>
      <c r="FL16" s="48">
        <f t="shared" si="133"/>
        <v>0</v>
      </c>
      <c r="FM16" s="48">
        <f t="shared" si="134"/>
        <v>0</v>
      </c>
      <c r="FN16" s="48">
        <f t="shared" si="135"/>
        <v>0</v>
      </c>
      <c r="FO16" s="48">
        <f t="shared" si="136"/>
        <v>0</v>
      </c>
      <c r="FP16" s="48">
        <f t="shared" si="137"/>
        <v>0</v>
      </c>
      <c r="FQ16" s="48">
        <f t="shared" si="138"/>
        <v>0</v>
      </c>
      <c r="FR16" s="48">
        <f t="shared" si="139"/>
        <v>0</v>
      </c>
      <c r="FS16" s="48">
        <f t="shared" si="140"/>
        <v>0</v>
      </c>
      <c r="FT16" s="48">
        <f t="shared" si="141"/>
        <v>0</v>
      </c>
      <c r="FU16" s="48">
        <f t="shared" si="142"/>
        <v>0</v>
      </c>
      <c r="FV16" s="48">
        <f t="shared" si="143"/>
        <v>0</v>
      </c>
      <c r="FW16" s="48">
        <f t="shared" si="144"/>
        <v>0</v>
      </c>
      <c r="FX16" s="48">
        <f t="shared" si="145"/>
        <v>0</v>
      </c>
      <c r="FY16" s="48">
        <f t="shared" si="146"/>
        <v>0</v>
      </c>
      <c r="FZ16" s="48">
        <f t="shared" si="147"/>
        <v>0</v>
      </c>
      <c r="GA16" s="48">
        <f t="shared" si="148"/>
        <v>0</v>
      </c>
      <c r="GB16" s="48">
        <f t="shared" si="149"/>
        <v>0</v>
      </c>
      <c r="GC16" s="48">
        <f t="shared" si="150"/>
        <v>0</v>
      </c>
      <c r="GG16">
        <f t="shared" si="151"/>
        <v>0</v>
      </c>
    </row>
    <row r="17" spans="1:189" x14ac:dyDescent="0.25">
      <c r="A17" s="690"/>
      <c r="B17" s="690"/>
      <c r="C17" s="690"/>
      <c r="D17" s="690"/>
      <c r="E17" s="690"/>
      <c r="F17" s="690"/>
      <c r="G17" s="889"/>
      <c r="H17" s="690"/>
      <c r="I17" s="690"/>
      <c r="J17" s="690"/>
      <c r="K17" s="690"/>
      <c r="L17" s="690"/>
      <c r="M17" s="690"/>
      <c r="N17" s="507" t="str">
        <f t="shared" si="159"/>
        <v/>
      </c>
      <c r="O17" s="690"/>
      <c r="P17" s="507" t="str">
        <f t="shared" si="158"/>
        <v/>
      </c>
      <c r="Q17" s="690"/>
      <c r="R17" s="690"/>
      <c r="S17" s="690"/>
      <c r="T17" s="690"/>
      <c r="U17">
        <f t="shared" si="152"/>
        <v>0</v>
      </c>
      <c r="V17">
        <f t="shared" si="153"/>
        <v>0</v>
      </c>
      <c r="X17">
        <f t="shared" si="154"/>
        <v>0</v>
      </c>
      <c r="Y17">
        <f t="shared" si="155"/>
        <v>0</v>
      </c>
      <c r="Z17">
        <f t="shared" si="156"/>
        <v>0</v>
      </c>
      <c r="AA17">
        <f t="shared" si="157"/>
        <v>0</v>
      </c>
      <c r="AB17" s="25"/>
      <c r="AC17" s="25"/>
      <c r="AD17" s="25"/>
      <c r="AE17" t="s">
        <v>670</v>
      </c>
      <c r="AF17" s="48" t="s">
        <v>671</v>
      </c>
      <c r="AG17" s="689"/>
      <c r="AH17" s="689"/>
      <c r="AI17" s="48">
        <f t="shared" si="0"/>
        <v>0</v>
      </c>
      <c r="AJ17" s="48">
        <f t="shared" si="1"/>
        <v>0</v>
      </c>
      <c r="AK17" s="48">
        <f t="shared" si="2"/>
        <v>0</v>
      </c>
      <c r="AL17" s="48">
        <f t="shared" si="3"/>
        <v>0</v>
      </c>
      <c r="AM17" s="48">
        <f t="shared" si="4"/>
        <v>0</v>
      </c>
      <c r="AN17" s="48">
        <f t="shared" si="5"/>
        <v>0</v>
      </c>
      <c r="AO17" s="48">
        <f t="shared" si="6"/>
        <v>0</v>
      </c>
      <c r="AP17" s="48">
        <f t="shared" si="7"/>
        <v>0</v>
      </c>
      <c r="AQ17" s="48">
        <f t="shared" si="8"/>
        <v>0</v>
      </c>
      <c r="AR17" s="48">
        <f t="shared" si="9"/>
        <v>0</v>
      </c>
      <c r="AS17" s="48">
        <f t="shared" si="10"/>
        <v>0</v>
      </c>
      <c r="AT17" s="48">
        <f t="shared" si="11"/>
        <v>0</v>
      </c>
      <c r="AU17" s="48">
        <f t="shared" si="12"/>
        <v>0</v>
      </c>
      <c r="AV17" s="48">
        <f t="shared" si="13"/>
        <v>0</v>
      </c>
      <c r="AW17" s="48">
        <f t="shared" si="14"/>
        <v>0</v>
      </c>
      <c r="AX17" s="48">
        <f t="shared" si="15"/>
        <v>0</v>
      </c>
      <c r="AY17" s="48">
        <f t="shared" si="16"/>
        <v>0</v>
      </c>
      <c r="AZ17" s="48">
        <f t="shared" si="17"/>
        <v>0</v>
      </c>
      <c r="BA17" s="48">
        <f t="shared" si="18"/>
        <v>0</v>
      </c>
      <c r="BB17" s="48">
        <f t="shared" si="19"/>
        <v>0</v>
      </c>
      <c r="BC17" s="48">
        <f t="shared" si="20"/>
        <v>0</v>
      </c>
      <c r="BD17" s="48">
        <f t="shared" si="21"/>
        <v>0</v>
      </c>
      <c r="BE17" s="48">
        <f t="shared" si="22"/>
        <v>0</v>
      </c>
      <c r="BF17" s="48">
        <f t="shared" si="23"/>
        <v>0</v>
      </c>
      <c r="BG17" s="48">
        <f t="shared" si="24"/>
        <v>0</v>
      </c>
      <c r="BH17" s="48">
        <f t="shared" si="25"/>
        <v>0</v>
      </c>
      <c r="BI17" s="48">
        <f t="shared" si="26"/>
        <v>0</v>
      </c>
      <c r="BJ17" s="48">
        <f t="shared" si="27"/>
        <v>0</v>
      </c>
      <c r="BK17" s="48">
        <f t="shared" si="28"/>
        <v>0</v>
      </c>
      <c r="BL17" s="48">
        <f t="shared" si="29"/>
        <v>0</v>
      </c>
      <c r="BM17" s="48">
        <f t="shared" si="30"/>
        <v>0</v>
      </c>
      <c r="BN17" s="48">
        <f t="shared" si="31"/>
        <v>0</v>
      </c>
      <c r="BO17" s="48">
        <f t="shared" si="32"/>
        <v>0</v>
      </c>
      <c r="BP17" s="48">
        <f t="shared" si="33"/>
        <v>0</v>
      </c>
      <c r="BQ17" s="48">
        <f t="shared" si="34"/>
        <v>0</v>
      </c>
      <c r="BR17" s="48">
        <f t="shared" si="35"/>
        <v>0</v>
      </c>
      <c r="BS17" s="48">
        <f t="shared" si="36"/>
        <v>0</v>
      </c>
      <c r="BT17" s="48">
        <f t="shared" si="37"/>
        <v>0</v>
      </c>
      <c r="BU17" s="48">
        <f t="shared" si="38"/>
        <v>0</v>
      </c>
      <c r="BV17" s="48">
        <f t="shared" si="39"/>
        <v>0</v>
      </c>
      <c r="BW17" s="48">
        <f t="shared" si="40"/>
        <v>0</v>
      </c>
      <c r="BX17" s="48">
        <f t="shared" si="41"/>
        <v>0</v>
      </c>
      <c r="BY17" s="48">
        <f t="shared" si="42"/>
        <v>0</v>
      </c>
      <c r="BZ17" s="48">
        <f t="shared" si="43"/>
        <v>0</v>
      </c>
      <c r="CA17" s="48">
        <f t="shared" si="44"/>
        <v>0</v>
      </c>
      <c r="CB17" s="48">
        <f t="shared" si="45"/>
        <v>0</v>
      </c>
      <c r="CC17" s="48">
        <f t="shared" si="46"/>
        <v>0</v>
      </c>
      <c r="CD17" s="48">
        <f t="shared" si="47"/>
        <v>0</v>
      </c>
      <c r="CE17" s="48">
        <f t="shared" si="48"/>
        <v>0</v>
      </c>
      <c r="CF17" s="48">
        <f t="shared" si="49"/>
        <v>0</v>
      </c>
      <c r="CG17" s="48">
        <f t="shared" si="50"/>
        <v>0</v>
      </c>
      <c r="CH17" s="48">
        <f t="shared" si="51"/>
        <v>0</v>
      </c>
      <c r="CI17" s="48">
        <f t="shared" si="52"/>
        <v>0</v>
      </c>
      <c r="CJ17" s="48">
        <f t="shared" si="53"/>
        <v>0</v>
      </c>
      <c r="CK17" s="48">
        <f t="shared" si="54"/>
        <v>0</v>
      </c>
      <c r="CL17" s="48">
        <f t="shared" si="55"/>
        <v>0</v>
      </c>
      <c r="CM17" s="48">
        <f t="shared" si="56"/>
        <v>0</v>
      </c>
      <c r="CN17" s="48">
        <f t="shared" si="57"/>
        <v>0</v>
      </c>
      <c r="CO17" s="48">
        <f t="shared" si="58"/>
        <v>0</v>
      </c>
      <c r="CP17" s="48">
        <f t="shared" si="59"/>
        <v>0</v>
      </c>
      <c r="CQ17" s="48">
        <f t="shared" si="60"/>
        <v>0</v>
      </c>
      <c r="CR17" s="48">
        <f t="shared" si="61"/>
        <v>0</v>
      </c>
      <c r="CS17" s="48">
        <f t="shared" si="62"/>
        <v>0</v>
      </c>
      <c r="CT17" s="48">
        <f t="shared" si="63"/>
        <v>0</v>
      </c>
      <c r="CU17" s="48">
        <f t="shared" si="64"/>
        <v>0</v>
      </c>
      <c r="CV17" s="48">
        <f t="shared" si="65"/>
        <v>0</v>
      </c>
      <c r="CW17" s="48">
        <f t="shared" si="66"/>
        <v>0</v>
      </c>
      <c r="CX17" s="48">
        <f t="shared" si="67"/>
        <v>0</v>
      </c>
      <c r="CY17" s="48">
        <f t="shared" si="68"/>
        <v>0</v>
      </c>
      <c r="CZ17" s="48">
        <f t="shared" si="69"/>
        <v>0</v>
      </c>
      <c r="DA17" s="48">
        <f t="shared" si="70"/>
        <v>0</v>
      </c>
      <c r="DB17" s="48">
        <f t="shared" si="71"/>
        <v>0</v>
      </c>
      <c r="DC17" s="48">
        <f t="shared" si="72"/>
        <v>0</v>
      </c>
      <c r="DD17" s="48">
        <f t="shared" si="73"/>
        <v>0</v>
      </c>
      <c r="DE17" s="48">
        <f t="shared" si="74"/>
        <v>0</v>
      </c>
      <c r="DF17" s="48">
        <f t="shared" si="75"/>
        <v>0</v>
      </c>
      <c r="DG17" s="48">
        <f t="shared" si="76"/>
        <v>0</v>
      </c>
      <c r="DH17" s="48">
        <f t="shared" si="77"/>
        <v>0</v>
      </c>
      <c r="DI17" s="48">
        <f t="shared" si="78"/>
        <v>0</v>
      </c>
      <c r="DJ17" s="48">
        <f t="shared" si="79"/>
        <v>0</v>
      </c>
      <c r="DK17" s="48">
        <f t="shared" si="80"/>
        <v>0</v>
      </c>
      <c r="DL17" s="48">
        <f t="shared" si="81"/>
        <v>0</v>
      </c>
      <c r="DM17" s="48">
        <f t="shared" si="82"/>
        <v>0</v>
      </c>
      <c r="DN17" s="48">
        <f t="shared" si="83"/>
        <v>0</v>
      </c>
      <c r="DO17" s="48">
        <f t="shared" si="84"/>
        <v>0</v>
      </c>
      <c r="DP17" s="48">
        <f t="shared" si="85"/>
        <v>0</v>
      </c>
      <c r="DQ17" s="48">
        <f t="shared" si="86"/>
        <v>0</v>
      </c>
      <c r="DR17" s="48">
        <f t="shared" si="87"/>
        <v>0</v>
      </c>
      <c r="DS17" s="48">
        <f t="shared" si="88"/>
        <v>0</v>
      </c>
      <c r="DT17" s="48">
        <f t="shared" si="89"/>
        <v>0</v>
      </c>
      <c r="DU17" s="48">
        <f t="shared" si="90"/>
        <v>0</v>
      </c>
      <c r="DV17" s="48">
        <f t="shared" si="91"/>
        <v>0</v>
      </c>
      <c r="DW17" s="48">
        <f t="shared" si="92"/>
        <v>0</v>
      </c>
      <c r="DX17" s="48">
        <f t="shared" si="93"/>
        <v>0</v>
      </c>
      <c r="DY17" s="48">
        <f t="shared" si="94"/>
        <v>0</v>
      </c>
      <c r="DZ17" s="48">
        <f t="shared" si="95"/>
        <v>0</v>
      </c>
      <c r="EA17" s="48">
        <f t="shared" si="96"/>
        <v>0</v>
      </c>
      <c r="EB17" s="48">
        <f t="shared" si="97"/>
        <v>0</v>
      </c>
      <c r="EC17" s="48">
        <f t="shared" si="98"/>
        <v>0</v>
      </c>
      <c r="ED17" s="48">
        <f t="shared" si="99"/>
        <v>0</v>
      </c>
      <c r="EE17" s="48">
        <f t="shared" si="100"/>
        <v>0</v>
      </c>
      <c r="EF17" s="48">
        <f t="shared" si="101"/>
        <v>0</v>
      </c>
      <c r="EG17" s="48">
        <f t="shared" si="102"/>
        <v>0</v>
      </c>
      <c r="EH17" s="48">
        <f t="shared" si="103"/>
        <v>0</v>
      </c>
      <c r="EI17" s="48">
        <f t="shared" si="104"/>
        <v>0</v>
      </c>
      <c r="EJ17" s="48">
        <f t="shared" si="105"/>
        <v>0</v>
      </c>
      <c r="EK17" s="48">
        <f t="shared" si="106"/>
        <v>0</v>
      </c>
      <c r="EL17" s="48">
        <f t="shared" si="107"/>
        <v>0</v>
      </c>
      <c r="EM17" s="48">
        <f t="shared" si="108"/>
        <v>0</v>
      </c>
      <c r="EN17" s="48">
        <f t="shared" si="109"/>
        <v>0</v>
      </c>
      <c r="EO17" s="48">
        <f t="shared" si="110"/>
        <v>0</v>
      </c>
      <c r="EP17" s="48">
        <f t="shared" si="111"/>
        <v>0</v>
      </c>
      <c r="EQ17" s="48">
        <f t="shared" si="112"/>
        <v>0</v>
      </c>
      <c r="ER17" s="48">
        <f t="shared" si="113"/>
        <v>0</v>
      </c>
      <c r="ES17" s="48">
        <f t="shared" si="114"/>
        <v>0</v>
      </c>
      <c r="ET17" s="48">
        <f t="shared" si="115"/>
        <v>0</v>
      </c>
      <c r="EU17" s="48">
        <f t="shared" si="116"/>
        <v>0</v>
      </c>
      <c r="EV17" s="48">
        <f t="shared" si="117"/>
        <v>0</v>
      </c>
      <c r="EW17" s="48">
        <f t="shared" si="118"/>
        <v>0</v>
      </c>
      <c r="EX17" s="48">
        <f t="shared" si="119"/>
        <v>0</v>
      </c>
      <c r="EY17" s="48">
        <f t="shared" si="120"/>
        <v>0</v>
      </c>
      <c r="EZ17" s="48">
        <f t="shared" si="121"/>
        <v>0</v>
      </c>
      <c r="FA17" s="48">
        <f t="shared" si="122"/>
        <v>0</v>
      </c>
      <c r="FB17" s="48">
        <f t="shared" si="123"/>
        <v>0</v>
      </c>
      <c r="FC17" s="48">
        <f t="shared" si="124"/>
        <v>0</v>
      </c>
      <c r="FD17" s="48">
        <f t="shared" si="125"/>
        <v>0</v>
      </c>
      <c r="FE17" s="48">
        <f t="shared" si="126"/>
        <v>0</v>
      </c>
      <c r="FF17" s="48">
        <f t="shared" si="127"/>
        <v>0</v>
      </c>
      <c r="FG17" s="48">
        <f t="shared" si="128"/>
        <v>0</v>
      </c>
      <c r="FH17" s="48">
        <f t="shared" si="129"/>
        <v>0</v>
      </c>
      <c r="FI17" s="48">
        <f t="shared" si="130"/>
        <v>0</v>
      </c>
      <c r="FJ17" s="48">
        <f t="shared" si="131"/>
        <v>0</v>
      </c>
      <c r="FK17" s="48">
        <f t="shared" si="132"/>
        <v>0</v>
      </c>
      <c r="FL17" s="48">
        <f t="shared" si="133"/>
        <v>0</v>
      </c>
      <c r="FM17" s="48">
        <f t="shared" si="134"/>
        <v>0</v>
      </c>
      <c r="FN17" s="48">
        <f t="shared" si="135"/>
        <v>0</v>
      </c>
      <c r="FO17" s="48">
        <f t="shared" si="136"/>
        <v>0</v>
      </c>
      <c r="FP17" s="48">
        <f t="shared" si="137"/>
        <v>0</v>
      </c>
      <c r="FQ17" s="48">
        <f t="shared" si="138"/>
        <v>0</v>
      </c>
      <c r="FR17" s="48">
        <f t="shared" si="139"/>
        <v>0</v>
      </c>
      <c r="FS17" s="48">
        <f t="shared" si="140"/>
        <v>0</v>
      </c>
      <c r="FT17" s="48">
        <f t="shared" si="141"/>
        <v>0</v>
      </c>
      <c r="FU17" s="48">
        <f t="shared" si="142"/>
        <v>0</v>
      </c>
      <c r="FV17" s="48">
        <f t="shared" si="143"/>
        <v>0</v>
      </c>
      <c r="FW17" s="48">
        <f t="shared" si="144"/>
        <v>0</v>
      </c>
      <c r="FX17" s="48">
        <f t="shared" si="145"/>
        <v>0</v>
      </c>
      <c r="FY17" s="48">
        <f t="shared" si="146"/>
        <v>0</v>
      </c>
      <c r="FZ17" s="48">
        <f t="shared" si="147"/>
        <v>0</v>
      </c>
      <c r="GA17" s="48">
        <f t="shared" si="148"/>
        <v>0</v>
      </c>
      <c r="GB17" s="48">
        <f t="shared" si="149"/>
        <v>0</v>
      </c>
      <c r="GC17" s="48">
        <f t="shared" si="150"/>
        <v>0</v>
      </c>
      <c r="GG17">
        <f t="shared" si="151"/>
        <v>0</v>
      </c>
    </row>
    <row r="18" spans="1:189" x14ac:dyDescent="0.25">
      <c r="A18" s="690"/>
      <c r="B18" s="690"/>
      <c r="C18" s="690"/>
      <c r="D18" s="690"/>
      <c r="E18" s="690"/>
      <c r="F18" s="690"/>
      <c r="G18" s="889"/>
      <c r="H18" s="690"/>
      <c r="I18" s="690"/>
      <c r="J18" s="690"/>
      <c r="K18" s="690"/>
      <c r="L18" s="690"/>
      <c r="M18" s="690"/>
      <c r="N18" s="507" t="str">
        <f t="shared" si="159"/>
        <v/>
      </c>
      <c r="O18" s="690"/>
      <c r="P18" s="507" t="str">
        <f t="shared" si="158"/>
        <v/>
      </c>
      <c r="Q18" s="690"/>
      <c r="R18" s="690"/>
      <c r="S18" s="690"/>
      <c r="T18" s="690"/>
      <c r="U18">
        <f t="shared" si="152"/>
        <v>0</v>
      </c>
      <c r="V18">
        <f t="shared" si="153"/>
        <v>0</v>
      </c>
      <c r="X18">
        <f t="shared" si="154"/>
        <v>0</v>
      </c>
      <c r="Y18">
        <f t="shared" si="155"/>
        <v>0</v>
      </c>
      <c r="Z18">
        <f t="shared" si="156"/>
        <v>0</v>
      </c>
      <c r="AA18">
        <f t="shared" si="157"/>
        <v>0</v>
      </c>
      <c r="AB18" s="25"/>
      <c r="AC18" s="25"/>
      <c r="AD18" s="25"/>
      <c r="AE18" t="s">
        <v>672</v>
      </c>
      <c r="AF18" s="48" t="s">
        <v>673</v>
      </c>
      <c r="AG18" s="689"/>
      <c r="AH18" s="689"/>
      <c r="AI18" s="48">
        <f t="shared" si="0"/>
        <v>0</v>
      </c>
      <c r="AJ18" s="48">
        <f t="shared" si="1"/>
        <v>0</v>
      </c>
      <c r="AK18" s="48">
        <f t="shared" si="2"/>
        <v>0</v>
      </c>
      <c r="AL18" s="48">
        <f t="shared" si="3"/>
        <v>0</v>
      </c>
      <c r="AM18" s="48">
        <f t="shared" si="4"/>
        <v>0</v>
      </c>
      <c r="AN18" s="48">
        <f t="shared" si="5"/>
        <v>0</v>
      </c>
      <c r="AO18" s="48">
        <f t="shared" si="6"/>
        <v>0</v>
      </c>
      <c r="AP18" s="48">
        <f t="shared" si="7"/>
        <v>0</v>
      </c>
      <c r="AQ18" s="48">
        <f t="shared" si="8"/>
        <v>0</v>
      </c>
      <c r="AR18" s="48">
        <f t="shared" si="9"/>
        <v>0</v>
      </c>
      <c r="AS18" s="48">
        <f t="shared" si="10"/>
        <v>0</v>
      </c>
      <c r="AT18" s="48">
        <f t="shared" si="11"/>
        <v>0</v>
      </c>
      <c r="AU18" s="48">
        <f t="shared" si="12"/>
        <v>0</v>
      </c>
      <c r="AV18" s="48">
        <f t="shared" si="13"/>
        <v>0</v>
      </c>
      <c r="AW18" s="48">
        <f t="shared" si="14"/>
        <v>0</v>
      </c>
      <c r="AX18" s="48">
        <f t="shared" si="15"/>
        <v>0</v>
      </c>
      <c r="AY18" s="48">
        <f t="shared" si="16"/>
        <v>0</v>
      </c>
      <c r="AZ18" s="48">
        <f t="shared" si="17"/>
        <v>0</v>
      </c>
      <c r="BA18" s="48">
        <f t="shared" si="18"/>
        <v>0</v>
      </c>
      <c r="BB18" s="48">
        <f t="shared" si="19"/>
        <v>0</v>
      </c>
      <c r="BC18" s="48">
        <f t="shared" si="20"/>
        <v>0</v>
      </c>
      <c r="BD18" s="48">
        <f t="shared" si="21"/>
        <v>0</v>
      </c>
      <c r="BE18" s="48">
        <f t="shared" si="22"/>
        <v>0</v>
      </c>
      <c r="BF18" s="48">
        <f t="shared" si="23"/>
        <v>0</v>
      </c>
      <c r="BG18" s="48">
        <f t="shared" si="24"/>
        <v>0</v>
      </c>
      <c r="BH18" s="48">
        <f t="shared" si="25"/>
        <v>0</v>
      </c>
      <c r="BI18" s="48">
        <f t="shared" si="26"/>
        <v>0</v>
      </c>
      <c r="BJ18" s="48">
        <f t="shared" si="27"/>
        <v>0</v>
      </c>
      <c r="BK18" s="48">
        <f t="shared" si="28"/>
        <v>0</v>
      </c>
      <c r="BL18" s="48">
        <f t="shared" si="29"/>
        <v>0</v>
      </c>
      <c r="BM18" s="48">
        <f t="shared" si="30"/>
        <v>0</v>
      </c>
      <c r="BN18" s="48">
        <f t="shared" si="31"/>
        <v>0</v>
      </c>
      <c r="BO18" s="48">
        <f t="shared" si="32"/>
        <v>0</v>
      </c>
      <c r="BP18" s="48">
        <f t="shared" si="33"/>
        <v>0</v>
      </c>
      <c r="BQ18" s="48">
        <f t="shared" si="34"/>
        <v>0</v>
      </c>
      <c r="BR18" s="48">
        <f t="shared" si="35"/>
        <v>0</v>
      </c>
      <c r="BS18" s="48">
        <f t="shared" si="36"/>
        <v>0</v>
      </c>
      <c r="BT18" s="48">
        <f t="shared" si="37"/>
        <v>0</v>
      </c>
      <c r="BU18" s="48">
        <f t="shared" si="38"/>
        <v>0</v>
      </c>
      <c r="BV18" s="48">
        <f t="shared" si="39"/>
        <v>0</v>
      </c>
      <c r="BW18" s="48">
        <f t="shared" si="40"/>
        <v>0</v>
      </c>
      <c r="BX18" s="48">
        <f t="shared" si="41"/>
        <v>0</v>
      </c>
      <c r="BY18" s="48">
        <f t="shared" si="42"/>
        <v>0</v>
      </c>
      <c r="BZ18" s="48">
        <f t="shared" si="43"/>
        <v>0</v>
      </c>
      <c r="CA18" s="48">
        <f t="shared" si="44"/>
        <v>0</v>
      </c>
      <c r="CB18" s="48">
        <f t="shared" si="45"/>
        <v>0</v>
      </c>
      <c r="CC18" s="48">
        <f t="shared" si="46"/>
        <v>0</v>
      </c>
      <c r="CD18" s="48">
        <f t="shared" si="47"/>
        <v>0</v>
      </c>
      <c r="CE18" s="48">
        <f t="shared" si="48"/>
        <v>0</v>
      </c>
      <c r="CF18" s="48">
        <f t="shared" si="49"/>
        <v>0</v>
      </c>
      <c r="CG18" s="48">
        <f t="shared" si="50"/>
        <v>0</v>
      </c>
      <c r="CH18" s="48">
        <f t="shared" si="51"/>
        <v>0</v>
      </c>
      <c r="CI18" s="48">
        <f t="shared" si="52"/>
        <v>0</v>
      </c>
      <c r="CJ18" s="48">
        <f t="shared" si="53"/>
        <v>0</v>
      </c>
      <c r="CK18" s="48">
        <f t="shared" si="54"/>
        <v>0</v>
      </c>
      <c r="CL18" s="48">
        <f t="shared" si="55"/>
        <v>0</v>
      </c>
      <c r="CM18" s="48">
        <f t="shared" si="56"/>
        <v>0</v>
      </c>
      <c r="CN18" s="48">
        <f t="shared" si="57"/>
        <v>0</v>
      </c>
      <c r="CO18" s="48">
        <f t="shared" si="58"/>
        <v>0</v>
      </c>
      <c r="CP18" s="48">
        <f t="shared" si="59"/>
        <v>0</v>
      </c>
      <c r="CQ18" s="48">
        <f t="shared" si="60"/>
        <v>0</v>
      </c>
      <c r="CR18" s="48">
        <f t="shared" si="61"/>
        <v>0</v>
      </c>
      <c r="CS18" s="48">
        <f t="shared" si="62"/>
        <v>0</v>
      </c>
      <c r="CT18" s="48">
        <f t="shared" si="63"/>
        <v>0</v>
      </c>
      <c r="CU18" s="48">
        <f t="shared" si="64"/>
        <v>0</v>
      </c>
      <c r="CV18" s="48">
        <f t="shared" si="65"/>
        <v>0</v>
      </c>
      <c r="CW18" s="48">
        <f t="shared" si="66"/>
        <v>0</v>
      </c>
      <c r="CX18" s="48">
        <f t="shared" si="67"/>
        <v>0</v>
      </c>
      <c r="CY18" s="48">
        <f t="shared" si="68"/>
        <v>0</v>
      </c>
      <c r="CZ18" s="48">
        <f t="shared" si="69"/>
        <v>0</v>
      </c>
      <c r="DA18" s="48">
        <f t="shared" si="70"/>
        <v>0</v>
      </c>
      <c r="DB18" s="48">
        <f t="shared" si="71"/>
        <v>0</v>
      </c>
      <c r="DC18" s="48">
        <f t="shared" si="72"/>
        <v>0</v>
      </c>
      <c r="DD18" s="48">
        <f t="shared" si="73"/>
        <v>0</v>
      </c>
      <c r="DE18" s="48">
        <f t="shared" si="74"/>
        <v>0</v>
      </c>
      <c r="DF18" s="48">
        <f t="shared" si="75"/>
        <v>0</v>
      </c>
      <c r="DG18" s="48">
        <f t="shared" si="76"/>
        <v>0</v>
      </c>
      <c r="DH18" s="48">
        <f t="shared" si="77"/>
        <v>0</v>
      </c>
      <c r="DI18" s="48">
        <f t="shared" si="78"/>
        <v>0</v>
      </c>
      <c r="DJ18" s="48">
        <f t="shared" si="79"/>
        <v>0</v>
      </c>
      <c r="DK18" s="48">
        <f t="shared" si="80"/>
        <v>0</v>
      </c>
      <c r="DL18" s="48">
        <f t="shared" si="81"/>
        <v>0</v>
      </c>
      <c r="DM18" s="48">
        <f t="shared" si="82"/>
        <v>0</v>
      </c>
      <c r="DN18" s="48">
        <f t="shared" si="83"/>
        <v>0</v>
      </c>
      <c r="DO18" s="48">
        <f t="shared" si="84"/>
        <v>0</v>
      </c>
      <c r="DP18" s="48">
        <f t="shared" si="85"/>
        <v>0</v>
      </c>
      <c r="DQ18" s="48">
        <f t="shared" si="86"/>
        <v>0</v>
      </c>
      <c r="DR18" s="48">
        <f t="shared" si="87"/>
        <v>0</v>
      </c>
      <c r="DS18" s="48">
        <f t="shared" si="88"/>
        <v>0</v>
      </c>
      <c r="DT18" s="48">
        <f t="shared" si="89"/>
        <v>0</v>
      </c>
      <c r="DU18" s="48">
        <f t="shared" si="90"/>
        <v>0</v>
      </c>
      <c r="DV18" s="48">
        <f t="shared" si="91"/>
        <v>0</v>
      </c>
      <c r="DW18" s="48">
        <f t="shared" si="92"/>
        <v>0</v>
      </c>
      <c r="DX18" s="48">
        <f t="shared" si="93"/>
        <v>0</v>
      </c>
      <c r="DY18" s="48">
        <f t="shared" si="94"/>
        <v>0</v>
      </c>
      <c r="DZ18" s="48">
        <f t="shared" si="95"/>
        <v>0</v>
      </c>
      <c r="EA18" s="48">
        <f t="shared" si="96"/>
        <v>0</v>
      </c>
      <c r="EB18" s="48">
        <f t="shared" si="97"/>
        <v>0</v>
      </c>
      <c r="EC18" s="48">
        <f t="shared" si="98"/>
        <v>0</v>
      </c>
      <c r="ED18" s="48">
        <f t="shared" si="99"/>
        <v>0</v>
      </c>
      <c r="EE18" s="48">
        <f t="shared" si="100"/>
        <v>0</v>
      </c>
      <c r="EF18" s="48">
        <f t="shared" si="101"/>
        <v>0</v>
      </c>
      <c r="EG18" s="48">
        <f t="shared" si="102"/>
        <v>0</v>
      </c>
      <c r="EH18" s="48">
        <f t="shared" si="103"/>
        <v>0</v>
      </c>
      <c r="EI18" s="48">
        <f t="shared" si="104"/>
        <v>0</v>
      </c>
      <c r="EJ18" s="48">
        <f t="shared" si="105"/>
        <v>0</v>
      </c>
      <c r="EK18" s="48">
        <f t="shared" si="106"/>
        <v>0</v>
      </c>
      <c r="EL18" s="48">
        <f t="shared" si="107"/>
        <v>0</v>
      </c>
      <c r="EM18" s="48">
        <f t="shared" si="108"/>
        <v>0</v>
      </c>
      <c r="EN18" s="48">
        <f t="shared" si="109"/>
        <v>0</v>
      </c>
      <c r="EO18" s="48">
        <f t="shared" si="110"/>
        <v>0</v>
      </c>
      <c r="EP18" s="48">
        <f t="shared" si="111"/>
        <v>0</v>
      </c>
      <c r="EQ18" s="48">
        <f t="shared" si="112"/>
        <v>0</v>
      </c>
      <c r="ER18" s="48">
        <f t="shared" si="113"/>
        <v>0</v>
      </c>
      <c r="ES18" s="48">
        <f t="shared" si="114"/>
        <v>0</v>
      </c>
      <c r="ET18" s="48">
        <f t="shared" si="115"/>
        <v>0</v>
      </c>
      <c r="EU18" s="48">
        <f t="shared" si="116"/>
        <v>0</v>
      </c>
      <c r="EV18" s="48">
        <f t="shared" si="117"/>
        <v>0</v>
      </c>
      <c r="EW18" s="48">
        <f t="shared" si="118"/>
        <v>0</v>
      </c>
      <c r="EX18" s="48">
        <f t="shared" si="119"/>
        <v>0</v>
      </c>
      <c r="EY18" s="48">
        <f t="shared" si="120"/>
        <v>0</v>
      </c>
      <c r="EZ18" s="48">
        <f t="shared" si="121"/>
        <v>0</v>
      </c>
      <c r="FA18" s="48">
        <f t="shared" si="122"/>
        <v>0</v>
      </c>
      <c r="FB18" s="48">
        <f t="shared" si="123"/>
        <v>0</v>
      </c>
      <c r="FC18" s="48">
        <f t="shared" si="124"/>
        <v>0</v>
      </c>
      <c r="FD18" s="48">
        <f t="shared" si="125"/>
        <v>0</v>
      </c>
      <c r="FE18" s="48">
        <f t="shared" si="126"/>
        <v>0</v>
      </c>
      <c r="FF18" s="48">
        <f t="shared" si="127"/>
        <v>0</v>
      </c>
      <c r="FG18" s="48">
        <f t="shared" si="128"/>
        <v>0</v>
      </c>
      <c r="FH18" s="48">
        <f t="shared" si="129"/>
        <v>0</v>
      </c>
      <c r="FI18" s="48">
        <f t="shared" si="130"/>
        <v>0</v>
      </c>
      <c r="FJ18" s="48">
        <f t="shared" si="131"/>
        <v>0</v>
      </c>
      <c r="FK18" s="48">
        <f t="shared" si="132"/>
        <v>0</v>
      </c>
      <c r="FL18" s="48">
        <f t="shared" si="133"/>
        <v>0</v>
      </c>
      <c r="FM18" s="48">
        <f t="shared" si="134"/>
        <v>0</v>
      </c>
      <c r="FN18" s="48">
        <f t="shared" si="135"/>
        <v>0</v>
      </c>
      <c r="FO18" s="48">
        <f t="shared" si="136"/>
        <v>0</v>
      </c>
      <c r="FP18" s="48">
        <f t="shared" si="137"/>
        <v>0</v>
      </c>
      <c r="FQ18" s="48">
        <f t="shared" si="138"/>
        <v>0</v>
      </c>
      <c r="FR18" s="48">
        <f t="shared" si="139"/>
        <v>0</v>
      </c>
      <c r="FS18" s="48">
        <f t="shared" si="140"/>
        <v>0</v>
      </c>
      <c r="FT18" s="48">
        <f t="shared" si="141"/>
        <v>0</v>
      </c>
      <c r="FU18" s="48">
        <f t="shared" si="142"/>
        <v>0</v>
      </c>
      <c r="FV18" s="48">
        <f t="shared" si="143"/>
        <v>0</v>
      </c>
      <c r="FW18" s="48">
        <f t="shared" si="144"/>
        <v>0</v>
      </c>
      <c r="FX18" s="48">
        <f t="shared" si="145"/>
        <v>0</v>
      </c>
      <c r="FY18" s="48">
        <f t="shared" si="146"/>
        <v>0</v>
      </c>
      <c r="FZ18" s="48">
        <f t="shared" si="147"/>
        <v>0</v>
      </c>
      <c r="GA18" s="48">
        <f t="shared" si="148"/>
        <v>0</v>
      </c>
      <c r="GB18" s="48">
        <f t="shared" si="149"/>
        <v>0</v>
      </c>
      <c r="GC18" s="48">
        <f t="shared" si="150"/>
        <v>0</v>
      </c>
      <c r="GG18">
        <f t="shared" si="151"/>
        <v>0</v>
      </c>
    </row>
    <row r="19" spans="1:189" x14ac:dyDescent="0.25">
      <c r="A19" s="690"/>
      <c r="B19" s="690"/>
      <c r="C19" s="690"/>
      <c r="D19" s="690"/>
      <c r="E19" s="690"/>
      <c r="F19" s="690"/>
      <c r="G19" s="889"/>
      <c r="H19" s="690"/>
      <c r="I19" s="690"/>
      <c r="J19" s="690"/>
      <c r="K19" s="690"/>
      <c r="L19" s="690"/>
      <c r="M19" s="690"/>
      <c r="N19" s="507" t="str">
        <f t="shared" si="159"/>
        <v/>
      </c>
      <c r="O19" s="690"/>
      <c r="P19" s="507" t="str">
        <f t="shared" si="158"/>
        <v/>
      </c>
      <c r="Q19" s="690"/>
      <c r="R19" s="690"/>
      <c r="S19" s="690"/>
      <c r="T19" s="690"/>
      <c r="U19">
        <f t="shared" si="152"/>
        <v>0</v>
      </c>
      <c r="V19">
        <f t="shared" si="153"/>
        <v>0</v>
      </c>
      <c r="X19">
        <f t="shared" si="154"/>
        <v>0</v>
      </c>
      <c r="Y19">
        <f t="shared" si="155"/>
        <v>0</v>
      </c>
      <c r="Z19">
        <f t="shared" si="156"/>
        <v>0</v>
      </c>
      <c r="AA19">
        <f t="shared" si="157"/>
        <v>0</v>
      </c>
      <c r="AB19" s="25"/>
      <c r="AC19" s="25"/>
      <c r="AD19" s="25"/>
      <c r="AF19" s="48" t="s">
        <v>674</v>
      </c>
      <c r="AG19" s="689"/>
      <c r="AH19" s="689"/>
      <c r="AI19" s="48">
        <f t="shared" si="0"/>
        <v>0</v>
      </c>
      <c r="AJ19" s="48">
        <f t="shared" si="1"/>
        <v>0</v>
      </c>
      <c r="AK19" s="48">
        <f t="shared" si="2"/>
        <v>0</v>
      </c>
      <c r="AL19" s="48">
        <f t="shared" si="3"/>
        <v>0</v>
      </c>
      <c r="AM19" s="48">
        <f t="shared" si="4"/>
        <v>0</v>
      </c>
      <c r="AN19" s="48">
        <f t="shared" si="5"/>
        <v>0</v>
      </c>
      <c r="AO19" s="48">
        <f t="shared" si="6"/>
        <v>0</v>
      </c>
      <c r="AP19" s="48">
        <f t="shared" si="7"/>
        <v>0</v>
      </c>
      <c r="AQ19" s="48">
        <f t="shared" si="8"/>
        <v>0</v>
      </c>
      <c r="AR19" s="48">
        <f t="shared" si="9"/>
        <v>0</v>
      </c>
      <c r="AS19" s="48">
        <f t="shared" si="10"/>
        <v>0</v>
      </c>
      <c r="AT19" s="48">
        <f t="shared" si="11"/>
        <v>0</v>
      </c>
      <c r="AU19" s="48">
        <f t="shared" si="12"/>
        <v>0</v>
      </c>
      <c r="AV19" s="48">
        <f t="shared" si="13"/>
        <v>0</v>
      </c>
      <c r="AW19" s="48">
        <f t="shared" si="14"/>
        <v>0</v>
      </c>
      <c r="AX19" s="48">
        <f t="shared" si="15"/>
        <v>0</v>
      </c>
      <c r="AY19" s="48">
        <f t="shared" si="16"/>
        <v>0</v>
      </c>
      <c r="AZ19" s="48">
        <f t="shared" si="17"/>
        <v>0</v>
      </c>
      <c r="BA19" s="48">
        <f t="shared" si="18"/>
        <v>0</v>
      </c>
      <c r="BB19" s="48">
        <f t="shared" si="19"/>
        <v>0</v>
      </c>
      <c r="BC19" s="48">
        <f t="shared" si="20"/>
        <v>0</v>
      </c>
      <c r="BD19" s="48">
        <f t="shared" si="21"/>
        <v>0</v>
      </c>
      <c r="BE19" s="48">
        <f t="shared" si="22"/>
        <v>0</v>
      </c>
      <c r="BF19" s="48">
        <f t="shared" si="23"/>
        <v>0</v>
      </c>
      <c r="BG19" s="48">
        <f t="shared" si="24"/>
        <v>0</v>
      </c>
      <c r="BH19" s="48">
        <f t="shared" si="25"/>
        <v>0</v>
      </c>
      <c r="BI19" s="48">
        <f t="shared" si="26"/>
        <v>0</v>
      </c>
      <c r="BJ19" s="48">
        <f t="shared" si="27"/>
        <v>0</v>
      </c>
      <c r="BK19" s="48">
        <f t="shared" si="28"/>
        <v>0</v>
      </c>
      <c r="BL19" s="48">
        <f t="shared" si="29"/>
        <v>0</v>
      </c>
      <c r="BM19" s="48">
        <f t="shared" si="30"/>
        <v>0</v>
      </c>
      <c r="BN19" s="48">
        <f t="shared" si="31"/>
        <v>0</v>
      </c>
      <c r="BO19" s="48">
        <f t="shared" si="32"/>
        <v>0</v>
      </c>
      <c r="BP19" s="48">
        <f t="shared" si="33"/>
        <v>0</v>
      </c>
      <c r="BQ19" s="48">
        <f t="shared" si="34"/>
        <v>0</v>
      </c>
      <c r="BR19" s="48">
        <f t="shared" si="35"/>
        <v>0</v>
      </c>
      <c r="BS19" s="48">
        <f t="shared" si="36"/>
        <v>0</v>
      </c>
      <c r="BT19" s="48">
        <f t="shared" si="37"/>
        <v>0</v>
      </c>
      <c r="BU19" s="48">
        <f t="shared" si="38"/>
        <v>0</v>
      </c>
      <c r="BV19" s="48">
        <f t="shared" si="39"/>
        <v>0</v>
      </c>
      <c r="BW19" s="48">
        <f t="shared" si="40"/>
        <v>0</v>
      </c>
      <c r="BX19" s="48">
        <f t="shared" si="41"/>
        <v>0</v>
      </c>
      <c r="BY19" s="48">
        <f t="shared" si="42"/>
        <v>0</v>
      </c>
      <c r="BZ19" s="48">
        <f t="shared" si="43"/>
        <v>0</v>
      </c>
      <c r="CA19" s="48">
        <f t="shared" si="44"/>
        <v>0</v>
      </c>
      <c r="CB19" s="48">
        <f t="shared" si="45"/>
        <v>0</v>
      </c>
      <c r="CC19" s="48">
        <f t="shared" si="46"/>
        <v>0</v>
      </c>
      <c r="CD19" s="48">
        <f t="shared" si="47"/>
        <v>0</v>
      </c>
      <c r="CE19" s="48">
        <f t="shared" si="48"/>
        <v>0</v>
      </c>
      <c r="CF19" s="48">
        <f t="shared" si="49"/>
        <v>0</v>
      </c>
      <c r="CG19" s="48">
        <f t="shared" si="50"/>
        <v>0</v>
      </c>
      <c r="CH19" s="48">
        <f t="shared" si="51"/>
        <v>0</v>
      </c>
      <c r="CI19" s="48">
        <f t="shared" si="52"/>
        <v>0</v>
      </c>
      <c r="CJ19" s="48">
        <f t="shared" si="53"/>
        <v>0</v>
      </c>
      <c r="CK19" s="48">
        <f t="shared" si="54"/>
        <v>0</v>
      </c>
      <c r="CL19" s="48">
        <f t="shared" si="55"/>
        <v>0</v>
      </c>
      <c r="CM19" s="48">
        <f t="shared" si="56"/>
        <v>0</v>
      </c>
      <c r="CN19" s="48">
        <f t="shared" si="57"/>
        <v>0</v>
      </c>
      <c r="CO19" s="48">
        <f t="shared" si="58"/>
        <v>0</v>
      </c>
      <c r="CP19" s="48">
        <f t="shared" si="59"/>
        <v>0</v>
      </c>
      <c r="CQ19" s="48">
        <f t="shared" si="60"/>
        <v>0</v>
      </c>
      <c r="CR19" s="48">
        <f t="shared" si="61"/>
        <v>0</v>
      </c>
      <c r="CS19" s="48">
        <f t="shared" si="62"/>
        <v>0</v>
      </c>
      <c r="CT19" s="48">
        <f t="shared" si="63"/>
        <v>0</v>
      </c>
      <c r="CU19" s="48">
        <f t="shared" si="64"/>
        <v>0</v>
      </c>
      <c r="CV19" s="48">
        <f t="shared" si="65"/>
        <v>0</v>
      </c>
      <c r="CW19" s="48">
        <f t="shared" si="66"/>
        <v>0</v>
      </c>
      <c r="CX19" s="48">
        <f t="shared" si="67"/>
        <v>0</v>
      </c>
      <c r="CY19" s="48">
        <f t="shared" si="68"/>
        <v>0</v>
      </c>
      <c r="CZ19" s="48">
        <f t="shared" si="69"/>
        <v>0</v>
      </c>
      <c r="DA19" s="48">
        <f t="shared" si="70"/>
        <v>0</v>
      </c>
      <c r="DB19" s="48">
        <f t="shared" si="71"/>
        <v>0</v>
      </c>
      <c r="DC19" s="48">
        <f t="shared" si="72"/>
        <v>0</v>
      </c>
      <c r="DD19" s="48">
        <f t="shared" si="73"/>
        <v>0</v>
      </c>
      <c r="DE19" s="48">
        <f t="shared" si="74"/>
        <v>0</v>
      </c>
      <c r="DF19" s="48">
        <f t="shared" si="75"/>
        <v>0</v>
      </c>
      <c r="DG19" s="48">
        <f t="shared" si="76"/>
        <v>0</v>
      </c>
      <c r="DH19" s="48">
        <f t="shared" si="77"/>
        <v>0</v>
      </c>
      <c r="DI19" s="48">
        <f t="shared" si="78"/>
        <v>0</v>
      </c>
      <c r="DJ19" s="48">
        <f t="shared" si="79"/>
        <v>0</v>
      </c>
      <c r="DK19" s="48">
        <f t="shared" si="80"/>
        <v>0</v>
      </c>
      <c r="DL19" s="48">
        <f t="shared" si="81"/>
        <v>0</v>
      </c>
      <c r="DM19" s="48">
        <f t="shared" si="82"/>
        <v>0</v>
      </c>
      <c r="DN19" s="48">
        <f t="shared" si="83"/>
        <v>0</v>
      </c>
      <c r="DO19" s="48">
        <f t="shared" si="84"/>
        <v>0</v>
      </c>
      <c r="DP19" s="48">
        <f t="shared" si="85"/>
        <v>0</v>
      </c>
      <c r="DQ19" s="48">
        <f t="shared" si="86"/>
        <v>0</v>
      </c>
      <c r="DR19" s="48">
        <f t="shared" si="87"/>
        <v>0</v>
      </c>
      <c r="DS19" s="48">
        <f t="shared" si="88"/>
        <v>0</v>
      </c>
      <c r="DT19" s="48">
        <f t="shared" si="89"/>
        <v>0</v>
      </c>
      <c r="DU19" s="48">
        <f t="shared" si="90"/>
        <v>0</v>
      </c>
      <c r="DV19" s="48">
        <f t="shared" si="91"/>
        <v>0</v>
      </c>
      <c r="DW19" s="48">
        <f t="shared" si="92"/>
        <v>0</v>
      </c>
      <c r="DX19" s="48">
        <f t="shared" si="93"/>
        <v>0</v>
      </c>
      <c r="DY19" s="48">
        <f t="shared" si="94"/>
        <v>0</v>
      </c>
      <c r="DZ19" s="48">
        <f t="shared" si="95"/>
        <v>0</v>
      </c>
      <c r="EA19" s="48">
        <f t="shared" si="96"/>
        <v>0</v>
      </c>
      <c r="EB19" s="48">
        <f t="shared" si="97"/>
        <v>0</v>
      </c>
      <c r="EC19" s="48">
        <f t="shared" si="98"/>
        <v>0</v>
      </c>
      <c r="ED19" s="48">
        <f t="shared" si="99"/>
        <v>0</v>
      </c>
      <c r="EE19" s="48">
        <f t="shared" si="100"/>
        <v>0</v>
      </c>
      <c r="EF19" s="48">
        <f t="shared" si="101"/>
        <v>0</v>
      </c>
      <c r="EG19" s="48">
        <f t="shared" si="102"/>
        <v>0</v>
      </c>
      <c r="EH19" s="48">
        <f t="shared" si="103"/>
        <v>0</v>
      </c>
      <c r="EI19" s="48">
        <f t="shared" si="104"/>
        <v>0</v>
      </c>
      <c r="EJ19" s="48">
        <f t="shared" si="105"/>
        <v>0</v>
      </c>
      <c r="EK19" s="48">
        <f t="shared" si="106"/>
        <v>0</v>
      </c>
      <c r="EL19" s="48">
        <f t="shared" si="107"/>
        <v>0</v>
      </c>
      <c r="EM19" s="48">
        <f t="shared" si="108"/>
        <v>0</v>
      </c>
      <c r="EN19" s="48">
        <f t="shared" si="109"/>
        <v>0</v>
      </c>
      <c r="EO19" s="48">
        <f t="shared" si="110"/>
        <v>0</v>
      </c>
      <c r="EP19" s="48">
        <f t="shared" si="111"/>
        <v>0</v>
      </c>
      <c r="EQ19" s="48">
        <f t="shared" si="112"/>
        <v>0</v>
      </c>
      <c r="ER19" s="48">
        <f t="shared" si="113"/>
        <v>0</v>
      </c>
      <c r="ES19" s="48">
        <f t="shared" si="114"/>
        <v>0</v>
      </c>
      <c r="ET19" s="48">
        <f t="shared" si="115"/>
        <v>0</v>
      </c>
      <c r="EU19" s="48">
        <f t="shared" si="116"/>
        <v>0</v>
      </c>
      <c r="EV19" s="48">
        <f t="shared" si="117"/>
        <v>0</v>
      </c>
      <c r="EW19" s="48">
        <f t="shared" si="118"/>
        <v>0</v>
      </c>
      <c r="EX19" s="48">
        <f t="shared" si="119"/>
        <v>0</v>
      </c>
      <c r="EY19" s="48">
        <f t="shared" si="120"/>
        <v>0</v>
      </c>
      <c r="EZ19" s="48">
        <f t="shared" si="121"/>
        <v>0</v>
      </c>
      <c r="FA19" s="48">
        <f t="shared" si="122"/>
        <v>0</v>
      </c>
      <c r="FB19" s="48">
        <f t="shared" si="123"/>
        <v>0</v>
      </c>
      <c r="FC19" s="48">
        <f t="shared" si="124"/>
        <v>0</v>
      </c>
      <c r="FD19" s="48">
        <f t="shared" si="125"/>
        <v>0</v>
      </c>
      <c r="FE19" s="48">
        <f t="shared" si="126"/>
        <v>0</v>
      </c>
      <c r="FF19" s="48">
        <f t="shared" si="127"/>
        <v>0</v>
      </c>
      <c r="FG19" s="48">
        <f t="shared" si="128"/>
        <v>0</v>
      </c>
      <c r="FH19" s="48">
        <f t="shared" si="129"/>
        <v>0</v>
      </c>
      <c r="FI19" s="48">
        <f t="shared" si="130"/>
        <v>0</v>
      </c>
      <c r="FJ19" s="48">
        <f t="shared" si="131"/>
        <v>0</v>
      </c>
      <c r="FK19" s="48">
        <f t="shared" si="132"/>
        <v>0</v>
      </c>
      <c r="FL19" s="48">
        <f t="shared" si="133"/>
        <v>0</v>
      </c>
      <c r="FM19" s="48">
        <f t="shared" si="134"/>
        <v>0</v>
      </c>
      <c r="FN19" s="48">
        <f t="shared" si="135"/>
        <v>0</v>
      </c>
      <c r="FO19" s="48">
        <f t="shared" si="136"/>
        <v>0</v>
      </c>
      <c r="FP19" s="48">
        <f t="shared" si="137"/>
        <v>0</v>
      </c>
      <c r="FQ19" s="48">
        <f t="shared" si="138"/>
        <v>0</v>
      </c>
      <c r="FR19" s="48">
        <f t="shared" si="139"/>
        <v>0</v>
      </c>
      <c r="FS19" s="48">
        <f t="shared" si="140"/>
        <v>0</v>
      </c>
      <c r="FT19" s="48">
        <f t="shared" si="141"/>
        <v>0</v>
      </c>
      <c r="FU19" s="48">
        <f t="shared" si="142"/>
        <v>0</v>
      </c>
      <c r="FV19" s="48">
        <f t="shared" si="143"/>
        <v>0</v>
      </c>
      <c r="FW19" s="48">
        <f t="shared" si="144"/>
        <v>0</v>
      </c>
      <c r="FX19" s="48">
        <f t="shared" si="145"/>
        <v>0</v>
      </c>
      <c r="FY19" s="48">
        <f t="shared" si="146"/>
        <v>0</v>
      </c>
      <c r="FZ19" s="48">
        <f t="shared" si="147"/>
        <v>0</v>
      </c>
      <c r="GA19" s="48">
        <f t="shared" si="148"/>
        <v>0</v>
      </c>
      <c r="GB19" s="48">
        <f t="shared" si="149"/>
        <v>0</v>
      </c>
      <c r="GC19" s="48">
        <f t="shared" si="150"/>
        <v>0</v>
      </c>
      <c r="GG19">
        <f t="shared" si="151"/>
        <v>0</v>
      </c>
    </row>
    <row r="20" spans="1:189" x14ac:dyDescent="0.25">
      <c r="A20" s="690"/>
      <c r="B20" s="690"/>
      <c r="C20" s="690"/>
      <c r="D20" s="690"/>
      <c r="E20" s="690"/>
      <c r="F20" s="690"/>
      <c r="G20" s="889"/>
      <c r="H20" s="690"/>
      <c r="I20" s="690"/>
      <c r="J20" s="690"/>
      <c r="K20" s="690"/>
      <c r="L20" s="690"/>
      <c r="M20" s="690"/>
      <c r="N20" s="507" t="str">
        <f t="shared" si="159"/>
        <v/>
      </c>
      <c r="O20" s="690"/>
      <c r="P20" s="507" t="str">
        <f t="shared" si="158"/>
        <v/>
      </c>
      <c r="Q20" s="690"/>
      <c r="R20" s="690"/>
      <c r="S20" s="690"/>
      <c r="T20" s="690"/>
      <c r="U20">
        <f t="shared" si="152"/>
        <v>0</v>
      </c>
      <c r="V20">
        <f t="shared" si="153"/>
        <v>0</v>
      </c>
      <c r="X20">
        <f t="shared" si="154"/>
        <v>0</v>
      </c>
      <c r="Y20">
        <f t="shared" si="155"/>
        <v>0</v>
      </c>
      <c r="Z20">
        <f t="shared" si="156"/>
        <v>0</v>
      </c>
      <c r="AA20">
        <f t="shared" si="157"/>
        <v>0</v>
      </c>
      <c r="AB20" s="25"/>
      <c r="AC20" s="25"/>
      <c r="AD20" s="25"/>
      <c r="AF20" s="48" t="s">
        <v>675</v>
      </c>
      <c r="AG20" s="689"/>
      <c r="AH20" s="689"/>
      <c r="AI20" s="48">
        <f t="shared" si="0"/>
        <v>0</v>
      </c>
      <c r="AJ20" s="48">
        <f t="shared" si="1"/>
        <v>0</v>
      </c>
      <c r="AK20" s="48">
        <f t="shared" si="2"/>
        <v>0</v>
      </c>
      <c r="AL20" s="48">
        <f t="shared" si="3"/>
        <v>0</v>
      </c>
      <c r="AM20" s="48">
        <f t="shared" si="4"/>
        <v>0</v>
      </c>
      <c r="AN20" s="48">
        <f t="shared" si="5"/>
        <v>0</v>
      </c>
      <c r="AO20" s="48">
        <f t="shared" si="6"/>
        <v>0</v>
      </c>
      <c r="AP20" s="48">
        <f t="shared" si="7"/>
        <v>0</v>
      </c>
      <c r="AQ20" s="48">
        <f t="shared" si="8"/>
        <v>0</v>
      </c>
      <c r="AR20" s="48">
        <f t="shared" si="9"/>
        <v>0</v>
      </c>
      <c r="AS20" s="48">
        <f t="shared" si="10"/>
        <v>0</v>
      </c>
      <c r="AT20" s="48">
        <f t="shared" si="11"/>
        <v>0</v>
      </c>
      <c r="AU20" s="48">
        <f t="shared" si="12"/>
        <v>0</v>
      </c>
      <c r="AV20" s="48">
        <f t="shared" si="13"/>
        <v>0</v>
      </c>
      <c r="AW20" s="48">
        <f t="shared" si="14"/>
        <v>0</v>
      </c>
      <c r="AX20" s="48">
        <f t="shared" si="15"/>
        <v>0</v>
      </c>
      <c r="AY20" s="48">
        <f t="shared" si="16"/>
        <v>0</v>
      </c>
      <c r="AZ20" s="48">
        <f t="shared" si="17"/>
        <v>0</v>
      </c>
      <c r="BA20" s="48">
        <f t="shared" si="18"/>
        <v>0</v>
      </c>
      <c r="BB20" s="48">
        <f t="shared" si="19"/>
        <v>0</v>
      </c>
      <c r="BC20" s="48">
        <f t="shared" si="20"/>
        <v>0</v>
      </c>
      <c r="BD20" s="48">
        <f t="shared" si="21"/>
        <v>0</v>
      </c>
      <c r="BE20" s="48">
        <f t="shared" si="22"/>
        <v>0</v>
      </c>
      <c r="BF20" s="48">
        <f t="shared" si="23"/>
        <v>0</v>
      </c>
      <c r="BG20" s="48">
        <f t="shared" si="24"/>
        <v>0</v>
      </c>
      <c r="BH20" s="48">
        <f t="shared" si="25"/>
        <v>0</v>
      </c>
      <c r="BI20" s="48">
        <f t="shared" si="26"/>
        <v>0</v>
      </c>
      <c r="BJ20" s="48">
        <f t="shared" si="27"/>
        <v>0</v>
      </c>
      <c r="BK20" s="48">
        <f t="shared" si="28"/>
        <v>0</v>
      </c>
      <c r="BL20" s="48">
        <f t="shared" si="29"/>
        <v>0</v>
      </c>
      <c r="BM20" s="48">
        <f t="shared" si="30"/>
        <v>0</v>
      </c>
      <c r="BN20" s="48">
        <f t="shared" si="31"/>
        <v>0</v>
      </c>
      <c r="BO20" s="48">
        <f t="shared" si="32"/>
        <v>0</v>
      </c>
      <c r="BP20" s="48">
        <f t="shared" si="33"/>
        <v>0</v>
      </c>
      <c r="BQ20" s="48">
        <f t="shared" si="34"/>
        <v>0</v>
      </c>
      <c r="BR20" s="48">
        <f t="shared" si="35"/>
        <v>0</v>
      </c>
      <c r="BS20" s="48">
        <f t="shared" si="36"/>
        <v>0</v>
      </c>
      <c r="BT20" s="48">
        <f t="shared" si="37"/>
        <v>0</v>
      </c>
      <c r="BU20" s="48">
        <f t="shared" si="38"/>
        <v>0</v>
      </c>
      <c r="BV20" s="48">
        <f t="shared" si="39"/>
        <v>0</v>
      </c>
      <c r="BW20" s="48">
        <f t="shared" si="40"/>
        <v>0</v>
      </c>
      <c r="BX20" s="48">
        <f t="shared" si="41"/>
        <v>0</v>
      </c>
      <c r="BY20" s="48">
        <f t="shared" si="42"/>
        <v>0</v>
      </c>
      <c r="BZ20" s="48">
        <f t="shared" si="43"/>
        <v>0</v>
      </c>
      <c r="CA20" s="48">
        <f t="shared" si="44"/>
        <v>0</v>
      </c>
      <c r="CB20" s="48">
        <f t="shared" si="45"/>
        <v>0</v>
      </c>
      <c r="CC20" s="48">
        <f t="shared" si="46"/>
        <v>0</v>
      </c>
      <c r="CD20" s="48">
        <f t="shared" si="47"/>
        <v>0</v>
      </c>
      <c r="CE20" s="48">
        <f t="shared" si="48"/>
        <v>0</v>
      </c>
      <c r="CF20" s="48">
        <f t="shared" si="49"/>
        <v>0</v>
      </c>
      <c r="CG20" s="48">
        <f t="shared" si="50"/>
        <v>0</v>
      </c>
      <c r="CH20" s="48">
        <f t="shared" si="51"/>
        <v>0</v>
      </c>
      <c r="CI20" s="48">
        <f t="shared" si="52"/>
        <v>0</v>
      </c>
      <c r="CJ20" s="48">
        <f t="shared" si="53"/>
        <v>0</v>
      </c>
      <c r="CK20" s="48">
        <f t="shared" si="54"/>
        <v>0</v>
      </c>
      <c r="CL20" s="48">
        <f t="shared" si="55"/>
        <v>0</v>
      </c>
      <c r="CM20" s="48">
        <f t="shared" si="56"/>
        <v>0</v>
      </c>
      <c r="CN20" s="48">
        <f t="shared" si="57"/>
        <v>0</v>
      </c>
      <c r="CO20" s="48">
        <f t="shared" si="58"/>
        <v>0</v>
      </c>
      <c r="CP20" s="48">
        <f t="shared" si="59"/>
        <v>0</v>
      </c>
      <c r="CQ20" s="48">
        <f t="shared" si="60"/>
        <v>0</v>
      </c>
      <c r="CR20" s="48">
        <f t="shared" si="61"/>
        <v>0</v>
      </c>
      <c r="CS20" s="48">
        <f t="shared" si="62"/>
        <v>0</v>
      </c>
      <c r="CT20" s="48">
        <f t="shared" si="63"/>
        <v>0</v>
      </c>
      <c r="CU20" s="48">
        <f t="shared" si="64"/>
        <v>0</v>
      </c>
      <c r="CV20" s="48">
        <f t="shared" si="65"/>
        <v>0</v>
      </c>
      <c r="CW20" s="48">
        <f t="shared" si="66"/>
        <v>0</v>
      </c>
      <c r="CX20" s="48">
        <f t="shared" si="67"/>
        <v>0</v>
      </c>
      <c r="CY20" s="48">
        <f t="shared" si="68"/>
        <v>0</v>
      </c>
      <c r="CZ20" s="48">
        <f t="shared" si="69"/>
        <v>0</v>
      </c>
      <c r="DA20" s="48">
        <f t="shared" si="70"/>
        <v>0</v>
      </c>
      <c r="DB20" s="48">
        <f t="shared" si="71"/>
        <v>0</v>
      </c>
      <c r="DC20" s="48">
        <f t="shared" si="72"/>
        <v>0</v>
      </c>
      <c r="DD20" s="48">
        <f t="shared" si="73"/>
        <v>0</v>
      </c>
      <c r="DE20" s="48">
        <f t="shared" si="74"/>
        <v>0</v>
      </c>
      <c r="DF20" s="48">
        <f t="shared" si="75"/>
        <v>0</v>
      </c>
      <c r="DG20" s="48">
        <f t="shared" si="76"/>
        <v>0</v>
      </c>
      <c r="DH20" s="48">
        <f t="shared" si="77"/>
        <v>0</v>
      </c>
      <c r="DI20" s="48">
        <f t="shared" si="78"/>
        <v>0</v>
      </c>
      <c r="DJ20" s="48">
        <f t="shared" si="79"/>
        <v>0</v>
      </c>
      <c r="DK20" s="48">
        <f t="shared" si="80"/>
        <v>0</v>
      </c>
      <c r="DL20" s="48">
        <f t="shared" si="81"/>
        <v>0</v>
      </c>
      <c r="DM20" s="48">
        <f t="shared" si="82"/>
        <v>0</v>
      </c>
      <c r="DN20" s="48">
        <f t="shared" si="83"/>
        <v>0</v>
      </c>
      <c r="DO20" s="48">
        <f t="shared" si="84"/>
        <v>0</v>
      </c>
      <c r="DP20" s="48">
        <f t="shared" si="85"/>
        <v>0</v>
      </c>
      <c r="DQ20" s="48">
        <f t="shared" si="86"/>
        <v>0</v>
      </c>
      <c r="DR20" s="48">
        <f t="shared" si="87"/>
        <v>0</v>
      </c>
      <c r="DS20" s="48">
        <f t="shared" si="88"/>
        <v>0</v>
      </c>
      <c r="DT20" s="48">
        <f t="shared" si="89"/>
        <v>0</v>
      </c>
      <c r="DU20" s="48">
        <f t="shared" si="90"/>
        <v>0</v>
      </c>
      <c r="DV20" s="48">
        <f t="shared" si="91"/>
        <v>0</v>
      </c>
      <c r="DW20" s="48">
        <f t="shared" si="92"/>
        <v>0</v>
      </c>
      <c r="DX20" s="48">
        <f t="shared" si="93"/>
        <v>0</v>
      </c>
      <c r="DY20" s="48">
        <f t="shared" si="94"/>
        <v>0</v>
      </c>
      <c r="DZ20" s="48">
        <f t="shared" si="95"/>
        <v>0</v>
      </c>
      <c r="EA20" s="48">
        <f t="shared" si="96"/>
        <v>0</v>
      </c>
      <c r="EB20" s="48">
        <f t="shared" si="97"/>
        <v>0</v>
      </c>
      <c r="EC20" s="48">
        <f t="shared" si="98"/>
        <v>0</v>
      </c>
      <c r="ED20" s="48">
        <f t="shared" si="99"/>
        <v>0</v>
      </c>
      <c r="EE20" s="48">
        <f t="shared" si="100"/>
        <v>0</v>
      </c>
      <c r="EF20" s="48">
        <f t="shared" si="101"/>
        <v>0</v>
      </c>
      <c r="EG20" s="48">
        <f t="shared" si="102"/>
        <v>0</v>
      </c>
      <c r="EH20" s="48">
        <f t="shared" si="103"/>
        <v>0</v>
      </c>
      <c r="EI20" s="48">
        <f t="shared" si="104"/>
        <v>0</v>
      </c>
      <c r="EJ20" s="48">
        <f t="shared" si="105"/>
        <v>0</v>
      </c>
      <c r="EK20" s="48">
        <f t="shared" si="106"/>
        <v>0</v>
      </c>
      <c r="EL20" s="48">
        <f t="shared" si="107"/>
        <v>0</v>
      </c>
      <c r="EM20" s="48">
        <f t="shared" si="108"/>
        <v>0</v>
      </c>
      <c r="EN20" s="48">
        <f t="shared" si="109"/>
        <v>0</v>
      </c>
      <c r="EO20" s="48">
        <f t="shared" si="110"/>
        <v>0</v>
      </c>
      <c r="EP20" s="48">
        <f t="shared" si="111"/>
        <v>0</v>
      </c>
      <c r="EQ20" s="48">
        <f t="shared" si="112"/>
        <v>0</v>
      </c>
      <c r="ER20" s="48">
        <f t="shared" si="113"/>
        <v>0</v>
      </c>
      <c r="ES20" s="48">
        <f t="shared" si="114"/>
        <v>0</v>
      </c>
      <c r="ET20" s="48">
        <f t="shared" si="115"/>
        <v>0</v>
      </c>
      <c r="EU20" s="48">
        <f t="shared" si="116"/>
        <v>0</v>
      </c>
      <c r="EV20" s="48">
        <f t="shared" si="117"/>
        <v>0</v>
      </c>
      <c r="EW20" s="48">
        <f t="shared" si="118"/>
        <v>0</v>
      </c>
      <c r="EX20" s="48">
        <f t="shared" si="119"/>
        <v>0</v>
      </c>
      <c r="EY20" s="48">
        <f t="shared" si="120"/>
        <v>0</v>
      </c>
      <c r="EZ20" s="48">
        <f t="shared" si="121"/>
        <v>0</v>
      </c>
      <c r="FA20" s="48">
        <f t="shared" si="122"/>
        <v>0</v>
      </c>
      <c r="FB20" s="48">
        <f t="shared" si="123"/>
        <v>0</v>
      </c>
      <c r="FC20" s="48">
        <f t="shared" si="124"/>
        <v>0</v>
      </c>
      <c r="FD20" s="48">
        <f t="shared" si="125"/>
        <v>0</v>
      </c>
      <c r="FE20" s="48">
        <f t="shared" si="126"/>
        <v>0</v>
      </c>
      <c r="FF20" s="48">
        <f t="shared" si="127"/>
        <v>0</v>
      </c>
      <c r="FG20" s="48">
        <f t="shared" si="128"/>
        <v>0</v>
      </c>
      <c r="FH20" s="48">
        <f t="shared" si="129"/>
        <v>0</v>
      </c>
      <c r="FI20" s="48">
        <f t="shared" si="130"/>
        <v>0</v>
      </c>
      <c r="FJ20" s="48">
        <f t="shared" si="131"/>
        <v>0</v>
      </c>
      <c r="FK20" s="48">
        <f t="shared" si="132"/>
        <v>0</v>
      </c>
      <c r="FL20" s="48">
        <f t="shared" si="133"/>
        <v>0</v>
      </c>
      <c r="FM20" s="48">
        <f t="shared" si="134"/>
        <v>0</v>
      </c>
      <c r="FN20" s="48">
        <f t="shared" si="135"/>
        <v>0</v>
      </c>
      <c r="FO20" s="48">
        <f t="shared" si="136"/>
        <v>0</v>
      </c>
      <c r="FP20" s="48">
        <f t="shared" si="137"/>
        <v>0</v>
      </c>
      <c r="FQ20" s="48">
        <f t="shared" si="138"/>
        <v>0</v>
      </c>
      <c r="FR20" s="48">
        <f t="shared" si="139"/>
        <v>0</v>
      </c>
      <c r="FS20" s="48">
        <f t="shared" si="140"/>
        <v>0</v>
      </c>
      <c r="FT20" s="48">
        <f t="shared" si="141"/>
        <v>0</v>
      </c>
      <c r="FU20" s="48">
        <f t="shared" si="142"/>
        <v>0</v>
      </c>
      <c r="FV20" s="48">
        <f t="shared" si="143"/>
        <v>0</v>
      </c>
      <c r="FW20" s="48">
        <f t="shared" si="144"/>
        <v>0</v>
      </c>
      <c r="FX20" s="48">
        <f t="shared" si="145"/>
        <v>0</v>
      </c>
      <c r="FY20" s="48">
        <f t="shared" si="146"/>
        <v>0</v>
      </c>
      <c r="FZ20" s="48">
        <f t="shared" si="147"/>
        <v>0</v>
      </c>
      <c r="GA20" s="48">
        <f t="shared" si="148"/>
        <v>0</v>
      </c>
      <c r="GB20" s="48">
        <f t="shared" si="149"/>
        <v>0</v>
      </c>
      <c r="GC20" s="48">
        <f t="shared" si="150"/>
        <v>0</v>
      </c>
      <c r="GG20">
        <f t="shared" si="151"/>
        <v>0</v>
      </c>
    </row>
    <row r="21" spans="1:189" x14ac:dyDescent="0.25">
      <c r="A21" s="690"/>
      <c r="B21" s="690"/>
      <c r="C21" s="690"/>
      <c r="D21" s="690"/>
      <c r="E21" s="690"/>
      <c r="F21" s="690"/>
      <c r="G21" s="889"/>
      <c r="H21" s="690"/>
      <c r="I21" s="690"/>
      <c r="J21" s="690"/>
      <c r="K21" s="690"/>
      <c r="L21" s="690"/>
      <c r="M21" s="690"/>
      <c r="N21" s="507" t="str">
        <f t="shared" si="159"/>
        <v/>
      </c>
      <c r="O21" s="690"/>
      <c r="P21" s="507" t="str">
        <f t="shared" si="158"/>
        <v/>
      </c>
      <c r="Q21" s="690"/>
      <c r="R21" s="690"/>
      <c r="S21" s="690"/>
      <c r="T21" s="690"/>
      <c r="U21">
        <f t="shared" si="152"/>
        <v>0</v>
      </c>
      <c r="V21">
        <f t="shared" si="153"/>
        <v>0</v>
      </c>
      <c r="X21">
        <f t="shared" si="154"/>
        <v>0</v>
      </c>
      <c r="Y21">
        <f t="shared" si="155"/>
        <v>0</v>
      </c>
      <c r="Z21">
        <f t="shared" si="156"/>
        <v>0</v>
      </c>
      <c r="AA21">
        <f t="shared" si="157"/>
        <v>0</v>
      </c>
      <c r="AB21" s="25"/>
      <c r="AC21" s="25"/>
      <c r="AD21" s="25"/>
      <c r="AF21" s="48" t="s">
        <v>676</v>
      </c>
      <c r="AG21" s="689"/>
      <c r="AH21" s="689"/>
      <c r="AI21" s="48">
        <f t="shared" si="0"/>
        <v>0</v>
      </c>
      <c r="AJ21" s="48">
        <f t="shared" si="1"/>
        <v>0</v>
      </c>
      <c r="AK21" s="48">
        <f t="shared" si="2"/>
        <v>0</v>
      </c>
      <c r="AL21" s="48">
        <f t="shared" si="3"/>
        <v>0</v>
      </c>
      <c r="AM21" s="48">
        <f t="shared" si="4"/>
        <v>0</v>
      </c>
      <c r="AN21" s="48">
        <f t="shared" si="5"/>
        <v>0</v>
      </c>
      <c r="AO21" s="48">
        <f t="shared" si="6"/>
        <v>0</v>
      </c>
      <c r="AP21" s="48">
        <f t="shared" si="7"/>
        <v>0</v>
      </c>
      <c r="AQ21" s="48">
        <f t="shared" si="8"/>
        <v>0</v>
      </c>
      <c r="AR21" s="48">
        <f t="shared" si="9"/>
        <v>0</v>
      </c>
      <c r="AS21" s="48">
        <f t="shared" si="10"/>
        <v>0</v>
      </c>
      <c r="AT21" s="48">
        <f t="shared" si="11"/>
        <v>0</v>
      </c>
      <c r="AU21" s="48">
        <f t="shared" si="12"/>
        <v>0</v>
      </c>
      <c r="AV21" s="48">
        <f t="shared" si="13"/>
        <v>0</v>
      </c>
      <c r="AW21" s="48">
        <f t="shared" si="14"/>
        <v>0</v>
      </c>
      <c r="AX21" s="48">
        <f t="shared" si="15"/>
        <v>0</v>
      </c>
      <c r="AY21" s="48">
        <f t="shared" si="16"/>
        <v>0</v>
      </c>
      <c r="AZ21" s="48">
        <f t="shared" si="17"/>
        <v>0</v>
      </c>
      <c r="BA21" s="48">
        <f t="shared" si="18"/>
        <v>0</v>
      </c>
      <c r="BB21" s="48">
        <f t="shared" si="19"/>
        <v>0</v>
      </c>
      <c r="BC21" s="48">
        <f t="shared" si="20"/>
        <v>0</v>
      </c>
      <c r="BD21" s="48">
        <f t="shared" si="21"/>
        <v>0</v>
      </c>
      <c r="BE21" s="48">
        <f t="shared" si="22"/>
        <v>0</v>
      </c>
      <c r="BF21" s="48">
        <f t="shared" si="23"/>
        <v>0</v>
      </c>
      <c r="BG21" s="48">
        <f t="shared" si="24"/>
        <v>0</v>
      </c>
      <c r="BH21" s="48">
        <f t="shared" si="25"/>
        <v>0</v>
      </c>
      <c r="BI21" s="48">
        <f t="shared" si="26"/>
        <v>0</v>
      </c>
      <c r="BJ21" s="48">
        <f t="shared" si="27"/>
        <v>0</v>
      </c>
      <c r="BK21" s="48">
        <f t="shared" si="28"/>
        <v>0</v>
      </c>
      <c r="BL21" s="48">
        <f t="shared" si="29"/>
        <v>0</v>
      </c>
      <c r="BM21" s="48">
        <f t="shared" si="30"/>
        <v>0</v>
      </c>
      <c r="BN21" s="48">
        <f t="shared" si="31"/>
        <v>0</v>
      </c>
      <c r="BO21" s="48">
        <f t="shared" si="32"/>
        <v>0</v>
      </c>
      <c r="BP21" s="48">
        <f t="shared" si="33"/>
        <v>0</v>
      </c>
      <c r="BQ21" s="48">
        <f t="shared" si="34"/>
        <v>0</v>
      </c>
      <c r="BR21" s="48">
        <f t="shared" si="35"/>
        <v>0</v>
      </c>
      <c r="BS21" s="48">
        <f t="shared" si="36"/>
        <v>0</v>
      </c>
      <c r="BT21" s="48">
        <f t="shared" si="37"/>
        <v>0</v>
      </c>
      <c r="BU21" s="48">
        <f t="shared" si="38"/>
        <v>0</v>
      </c>
      <c r="BV21" s="48">
        <f t="shared" si="39"/>
        <v>0</v>
      </c>
      <c r="BW21" s="48">
        <f t="shared" si="40"/>
        <v>0</v>
      </c>
      <c r="BX21" s="48">
        <f t="shared" si="41"/>
        <v>0</v>
      </c>
      <c r="BY21" s="48">
        <f t="shared" si="42"/>
        <v>0</v>
      </c>
      <c r="BZ21" s="48">
        <f t="shared" si="43"/>
        <v>0</v>
      </c>
      <c r="CA21" s="48">
        <f t="shared" si="44"/>
        <v>0</v>
      </c>
      <c r="CB21" s="48">
        <f t="shared" si="45"/>
        <v>0</v>
      </c>
      <c r="CC21" s="48">
        <f t="shared" si="46"/>
        <v>0</v>
      </c>
      <c r="CD21" s="48">
        <f t="shared" si="47"/>
        <v>0</v>
      </c>
      <c r="CE21" s="48">
        <f t="shared" si="48"/>
        <v>0</v>
      </c>
      <c r="CF21" s="48">
        <f t="shared" si="49"/>
        <v>0</v>
      </c>
      <c r="CG21" s="48">
        <f t="shared" si="50"/>
        <v>0</v>
      </c>
      <c r="CH21" s="48">
        <f t="shared" si="51"/>
        <v>0</v>
      </c>
      <c r="CI21" s="48">
        <f t="shared" si="52"/>
        <v>0</v>
      </c>
      <c r="CJ21" s="48">
        <f t="shared" si="53"/>
        <v>0</v>
      </c>
      <c r="CK21" s="48">
        <f t="shared" si="54"/>
        <v>0</v>
      </c>
      <c r="CL21" s="48">
        <f t="shared" si="55"/>
        <v>0</v>
      </c>
      <c r="CM21" s="48">
        <f t="shared" si="56"/>
        <v>0</v>
      </c>
      <c r="CN21" s="48">
        <f t="shared" si="57"/>
        <v>0</v>
      </c>
      <c r="CO21" s="48">
        <f t="shared" si="58"/>
        <v>0</v>
      </c>
      <c r="CP21" s="48">
        <f t="shared" si="59"/>
        <v>0</v>
      </c>
      <c r="CQ21" s="48">
        <f t="shared" si="60"/>
        <v>0</v>
      </c>
      <c r="CR21" s="48">
        <f t="shared" si="61"/>
        <v>0</v>
      </c>
      <c r="CS21" s="48">
        <f t="shared" si="62"/>
        <v>0</v>
      </c>
      <c r="CT21" s="48">
        <f t="shared" si="63"/>
        <v>0</v>
      </c>
      <c r="CU21" s="48">
        <f t="shared" si="64"/>
        <v>0</v>
      </c>
      <c r="CV21" s="48">
        <f t="shared" si="65"/>
        <v>0</v>
      </c>
      <c r="CW21" s="48">
        <f t="shared" si="66"/>
        <v>0</v>
      </c>
      <c r="CX21" s="48">
        <f t="shared" si="67"/>
        <v>0</v>
      </c>
      <c r="CY21" s="48">
        <f t="shared" si="68"/>
        <v>0</v>
      </c>
      <c r="CZ21" s="48">
        <f t="shared" si="69"/>
        <v>0</v>
      </c>
      <c r="DA21" s="48">
        <f t="shared" si="70"/>
        <v>0</v>
      </c>
      <c r="DB21" s="48">
        <f t="shared" si="71"/>
        <v>0</v>
      </c>
      <c r="DC21" s="48">
        <f t="shared" si="72"/>
        <v>0</v>
      </c>
      <c r="DD21" s="48">
        <f t="shared" si="73"/>
        <v>0</v>
      </c>
      <c r="DE21" s="48">
        <f t="shared" si="74"/>
        <v>0</v>
      </c>
      <c r="DF21" s="48">
        <f t="shared" si="75"/>
        <v>0</v>
      </c>
      <c r="DG21" s="48">
        <f t="shared" si="76"/>
        <v>0</v>
      </c>
      <c r="DH21" s="48">
        <f t="shared" si="77"/>
        <v>0</v>
      </c>
      <c r="DI21" s="48">
        <f t="shared" si="78"/>
        <v>0</v>
      </c>
      <c r="DJ21" s="48">
        <f t="shared" si="79"/>
        <v>0</v>
      </c>
      <c r="DK21" s="48">
        <f t="shared" si="80"/>
        <v>0</v>
      </c>
      <c r="DL21" s="48">
        <f t="shared" si="81"/>
        <v>0</v>
      </c>
      <c r="DM21" s="48">
        <f t="shared" si="82"/>
        <v>0</v>
      </c>
      <c r="DN21" s="48">
        <f t="shared" si="83"/>
        <v>0</v>
      </c>
      <c r="DO21" s="48">
        <f t="shared" si="84"/>
        <v>0</v>
      </c>
      <c r="DP21" s="48">
        <f t="shared" si="85"/>
        <v>0</v>
      </c>
      <c r="DQ21" s="48">
        <f t="shared" si="86"/>
        <v>0</v>
      </c>
      <c r="DR21" s="48">
        <f t="shared" si="87"/>
        <v>0</v>
      </c>
      <c r="DS21" s="48">
        <f t="shared" si="88"/>
        <v>0</v>
      </c>
      <c r="DT21" s="48">
        <f t="shared" si="89"/>
        <v>0</v>
      </c>
      <c r="DU21" s="48">
        <f t="shared" si="90"/>
        <v>0</v>
      </c>
      <c r="DV21" s="48">
        <f t="shared" si="91"/>
        <v>0</v>
      </c>
      <c r="DW21" s="48">
        <f t="shared" si="92"/>
        <v>0</v>
      </c>
      <c r="DX21" s="48">
        <f t="shared" si="93"/>
        <v>0</v>
      </c>
      <c r="DY21" s="48">
        <f t="shared" si="94"/>
        <v>0</v>
      </c>
      <c r="DZ21" s="48">
        <f t="shared" si="95"/>
        <v>0</v>
      </c>
      <c r="EA21" s="48">
        <f t="shared" si="96"/>
        <v>0</v>
      </c>
      <c r="EB21" s="48">
        <f t="shared" si="97"/>
        <v>0</v>
      </c>
      <c r="EC21" s="48">
        <f t="shared" si="98"/>
        <v>0</v>
      </c>
      <c r="ED21" s="48">
        <f t="shared" si="99"/>
        <v>0</v>
      </c>
      <c r="EE21" s="48">
        <f t="shared" si="100"/>
        <v>0</v>
      </c>
      <c r="EF21" s="48">
        <f t="shared" si="101"/>
        <v>0</v>
      </c>
      <c r="EG21" s="48">
        <f t="shared" si="102"/>
        <v>0</v>
      </c>
      <c r="EH21" s="48">
        <f t="shared" si="103"/>
        <v>0</v>
      </c>
      <c r="EI21" s="48">
        <f t="shared" si="104"/>
        <v>0</v>
      </c>
      <c r="EJ21" s="48">
        <f t="shared" si="105"/>
        <v>0</v>
      </c>
      <c r="EK21" s="48">
        <f t="shared" si="106"/>
        <v>0</v>
      </c>
      <c r="EL21" s="48">
        <f t="shared" si="107"/>
        <v>0</v>
      </c>
      <c r="EM21" s="48">
        <f t="shared" si="108"/>
        <v>0</v>
      </c>
      <c r="EN21" s="48">
        <f t="shared" si="109"/>
        <v>0</v>
      </c>
      <c r="EO21" s="48">
        <f t="shared" si="110"/>
        <v>0</v>
      </c>
      <c r="EP21" s="48">
        <f t="shared" si="111"/>
        <v>0</v>
      </c>
      <c r="EQ21" s="48">
        <f t="shared" si="112"/>
        <v>0</v>
      </c>
      <c r="ER21" s="48">
        <f t="shared" si="113"/>
        <v>0</v>
      </c>
      <c r="ES21" s="48">
        <f t="shared" si="114"/>
        <v>0</v>
      </c>
      <c r="ET21" s="48">
        <f t="shared" si="115"/>
        <v>0</v>
      </c>
      <c r="EU21" s="48">
        <f t="shared" si="116"/>
        <v>0</v>
      </c>
      <c r="EV21" s="48">
        <f t="shared" si="117"/>
        <v>0</v>
      </c>
      <c r="EW21" s="48">
        <f t="shared" si="118"/>
        <v>0</v>
      </c>
      <c r="EX21" s="48">
        <f t="shared" si="119"/>
        <v>0</v>
      </c>
      <c r="EY21" s="48">
        <f t="shared" si="120"/>
        <v>0</v>
      </c>
      <c r="EZ21" s="48">
        <f t="shared" si="121"/>
        <v>0</v>
      </c>
      <c r="FA21" s="48">
        <f t="shared" si="122"/>
        <v>0</v>
      </c>
      <c r="FB21" s="48">
        <f t="shared" si="123"/>
        <v>0</v>
      </c>
      <c r="FC21" s="48">
        <f t="shared" si="124"/>
        <v>0</v>
      </c>
      <c r="FD21" s="48">
        <f t="shared" si="125"/>
        <v>0</v>
      </c>
      <c r="FE21" s="48">
        <f t="shared" si="126"/>
        <v>0</v>
      </c>
      <c r="FF21" s="48">
        <f t="shared" si="127"/>
        <v>0</v>
      </c>
      <c r="FG21" s="48">
        <f t="shared" si="128"/>
        <v>0</v>
      </c>
      <c r="FH21" s="48">
        <f t="shared" si="129"/>
        <v>0</v>
      </c>
      <c r="FI21" s="48">
        <f t="shared" si="130"/>
        <v>0</v>
      </c>
      <c r="FJ21" s="48">
        <f t="shared" si="131"/>
        <v>0</v>
      </c>
      <c r="FK21" s="48">
        <f t="shared" si="132"/>
        <v>0</v>
      </c>
      <c r="FL21" s="48">
        <f t="shared" si="133"/>
        <v>0</v>
      </c>
      <c r="FM21" s="48">
        <f t="shared" si="134"/>
        <v>0</v>
      </c>
      <c r="FN21" s="48">
        <f t="shared" si="135"/>
        <v>0</v>
      </c>
      <c r="FO21" s="48">
        <f t="shared" si="136"/>
        <v>0</v>
      </c>
      <c r="FP21" s="48">
        <f t="shared" si="137"/>
        <v>0</v>
      </c>
      <c r="FQ21" s="48">
        <f t="shared" si="138"/>
        <v>0</v>
      </c>
      <c r="FR21" s="48">
        <f t="shared" si="139"/>
        <v>0</v>
      </c>
      <c r="FS21" s="48">
        <f t="shared" si="140"/>
        <v>0</v>
      </c>
      <c r="FT21" s="48">
        <f t="shared" si="141"/>
        <v>0</v>
      </c>
      <c r="FU21" s="48">
        <f t="shared" si="142"/>
        <v>0</v>
      </c>
      <c r="FV21" s="48">
        <f t="shared" si="143"/>
        <v>0</v>
      </c>
      <c r="FW21" s="48">
        <f t="shared" si="144"/>
        <v>0</v>
      </c>
      <c r="FX21" s="48">
        <f t="shared" si="145"/>
        <v>0</v>
      </c>
      <c r="FY21" s="48">
        <f t="shared" si="146"/>
        <v>0</v>
      </c>
      <c r="FZ21" s="48">
        <f t="shared" si="147"/>
        <v>0</v>
      </c>
      <c r="GA21" s="48">
        <f t="shared" si="148"/>
        <v>0</v>
      </c>
      <c r="GB21" s="48">
        <f t="shared" si="149"/>
        <v>0</v>
      </c>
      <c r="GC21" s="48">
        <f t="shared" si="150"/>
        <v>0</v>
      </c>
      <c r="GG21">
        <f t="shared" si="151"/>
        <v>0</v>
      </c>
    </row>
    <row r="22" spans="1:189" x14ac:dyDescent="0.25">
      <c r="A22" s="690"/>
      <c r="B22" s="690"/>
      <c r="C22" s="690"/>
      <c r="D22" s="690"/>
      <c r="E22" s="690"/>
      <c r="F22" s="690"/>
      <c r="G22" s="889"/>
      <c r="H22" s="690"/>
      <c r="I22" s="690"/>
      <c r="J22" s="690"/>
      <c r="K22" s="690"/>
      <c r="L22" s="690"/>
      <c r="M22" s="690"/>
      <c r="N22" s="507" t="str">
        <f t="shared" si="159"/>
        <v/>
      </c>
      <c r="O22" s="690"/>
      <c r="P22" s="507" t="str">
        <f t="shared" si="158"/>
        <v/>
      </c>
      <c r="Q22" s="690"/>
      <c r="R22" s="690"/>
      <c r="S22" s="690"/>
      <c r="T22" s="690"/>
      <c r="U22">
        <f t="shared" si="152"/>
        <v>0</v>
      </c>
      <c r="V22">
        <f t="shared" si="153"/>
        <v>0</v>
      </c>
      <c r="X22">
        <f t="shared" si="154"/>
        <v>0</v>
      </c>
      <c r="Y22">
        <f t="shared" si="155"/>
        <v>0</v>
      </c>
      <c r="Z22">
        <f t="shared" si="156"/>
        <v>0</v>
      </c>
      <c r="AA22">
        <f t="shared" si="157"/>
        <v>0</v>
      </c>
      <c r="AB22" s="25"/>
      <c r="AC22" s="25"/>
      <c r="AD22" s="25"/>
      <c r="AF22" s="48" t="s">
        <v>677</v>
      </c>
      <c r="AG22" s="689"/>
      <c r="AH22" s="689"/>
      <c r="AI22" s="48">
        <f t="shared" si="0"/>
        <v>0</v>
      </c>
      <c r="AJ22" s="48">
        <f t="shared" si="1"/>
        <v>0</v>
      </c>
      <c r="AK22" s="48">
        <f t="shared" si="2"/>
        <v>0</v>
      </c>
      <c r="AL22" s="48">
        <f t="shared" si="3"/>
        <v>0</v>
      </c>
      <c r="AM22" s="48">
        <f t="shared" si="4"/>
        <v>0</v>
      </c>
      <c r="AN22" s="48">
        <f t="shared" si="5"/>
        <v>0</v>
      </c>
      <c r="AO22" s="48">
        <f t="shared" si="6"/>
        <v>0</v>
      </c>
      <c r="AP22" s="48">
        <f t="shared" si="7"/>
        <v>0</v>
      </c>
      <c r="AQ22" s="48">
        <f t="shared" si="8"/>
        <v>0</v>
      </c>
      <c r="AR22" s="48">
        <f t="shared" si="9"/>
        <v>0</v>
      </c>
      <c r="AS22" s="48">
        <f t="shared" si="10"/>
        <v>0</v>
      </c>
      <c r="AT22" s="48">
        <f t="shared" si="11"/>
        <v>0</v>
      </c>
      <c r="AU22" s="48">
        <f t="shared" si="12"/>
        <v>0</v>
      </c>
      <c r="AV22" s="48">
        <f t="shared" si="13"/>
        <v>0</v>
      </c>
      <c r="AW22" s="48">
        <f t="shared" si="14"/>
        <v>0</v>
      </c>
      <c r="AX22" s="48">
        <f t="shared" si="15"/>
        <v>0</v>
      </c>
      <c r="AY22" s="48">
        <f t="shared" si="16"/>
        <v>0</v>
      </c>
      <c r="AZ22" s="48">
        <f t="shared" si="17"/>
        <v>0</v>
      </c>
      <c r="BA22" s="48">
        <f t="shared" si="18"/>
        <v>0</v>
      </c>
      <c r="BB22" s="48">
        <f t="shared" si="19"/>
        <v>0</v>
      </c>
      <c r="BC22" s="48">
        <f t="shared" si="20"/>
        <v>0</v>
      </c>
      <c r="BD22" s="48">
        <f t="shared" si="21"/>
        <v>0</v>
      </c>
      <c r="BE22" s="48">
        <f t="shared" si="22"/>
        <v>0</v>
      </c>
      <c r="BF22" s="48">
        <f t="shared" si="23"/>
        <v>0</v>
      </c>
      <c r="BG22" s="48">
        <f t="shared" si="24"/>
        <v>0</v>
      </c>
      <c r="BH22" s="48">
        <f t="shared" si="25"/>
        <v>0</v>
      </c>
      <c r="BI22" s="48">
        <f t="shared" si="26"/>
        <v>0</v>
      </c>
      <c r="BJ22" s="48">
        <f t="shared" si="27"/>
        <v>0</v>
      </c>
      <c r="BK22" s="48">
        <f t="shared" si="28"/>
        <v>0</v>
      </c>
      <c r="BL22" s="48">
        <f t="shared" si="29"/>
        <v>0</v>
      </c>
      <c r="BM22" s="48">
        <f t="shared" si="30"/>
        <v>0</v>
      </c>
      <c r="BN22" s="48">
        <f t="shared" si="31"/>
        <v>0</v>
      </c>
      <c r="BO22" s="48">
        <f t="shared" si="32"/>
        <v>0</v>
      </c>
      <c r="BP22" s="48">
        <f t="shared" si="33"/>
        <v>0</v>
      </c>
      <c r="BQ22" s="48">
        <f t="shared" si="34"/>
        <v>0</v>
      </c>
      <c r="BR22" s="48">
        <f t="shared" si="35"/>
        <v>0</v>
      </c>
      <c r="BS22" s="48">
        <f t="shared" si="36"/>
        <v>0</v>
      </c>
      <c r="BT22" s="48">
        <f t="shared" si="37"/>
        <v>0</v>
      </c>
      <c r="BU22" s="48">
        <f t="shared" si="38"/>
        <v>0</v>
      </c>
      <c r="BV22" s="48">
        <f t="shared" si="39"/>
        <v>0</v>
      </c>
      <c r="BW22" s="48">
        <f t="shared" si="40"/>
        <v>0</v>
      </c>
      <c r="BX22" s="48">
        <f t="shared" si="41"/>
        <v>0</v>
      </c>
      <c r="BY22" s="48">
        <f t="shared" si="42"/>
        <v>0</v>
      </c>
      <c r="BZ22" s="48">
        <f t="shared" si="43"/>
        <v>0</v>
      </c>
      <c r="CA22" s="48">
        <f t="shared" si="44"/>
        <v>0</v>
      </c>
      <c r="CB22" s="48">
        <f t="shared" si="45"/>
        <v>0</v>
      </c>
      <c r="CC22" s="48">
        <f t="shared" si="46"/>
        <v>0</v>
      </c>
      <c r="CD22" s="48">
        <f t="shared" si="47"/>
        <v>0</v>
      </c>
      <c r="CE22" s="48">
        <f t="shared" si="48"/>
        <v>0</v>
      </c>
      <c r="CF22" s="48">
        <f t="shared" si="49"/>
        <v>0</v>
      </c>
      <c r="CG22" s="48">
        <f t="shared" si="50"/>
        <v>0</v>
      </c>
      <c r="CH22" s="48">
        <f t="shared" si="51"/>
        <v>0</v>
      </c>
      <c r="CI22" s="48">
        <f t="shared" si="52"/>
        <v>0</v>
      </c>
      <c r="CJ22" s="48">
        <f t="shared" si="53"/>
        <v>0</v>
      </c>
      <c r="CK22" s="48">
        <f t="shared" si="54"/>
        <v>0</v>
      </c>
      <c r="CL22" s="48">
        <f t="shared" si="55"/>
        <v>0</v>
      </c>
      <c r="CM22" s="48">
        <f t="shared" si="56"/>
        <v>0</v>
      </c>
      <c r="CN22" s="48">
        <f t="shared" si="57"/>
        <v>0</v>
      </c>
      <c r="CO22" s="48">
        <f t="shared" si="58"/>
        <v>0</v>
      </c>
      <c r="CP22" s="48">
        <f t="shared" si="59"/>
        <v>0</v>
      </c>
      <c r="CQ22" s="48">
        <f t="shared" si="60"/>
        <v>0</v>
      </c>
      <c r="CR22" s="48">
        <f t="shared" si="61"/>
        <v>0</v>
      </c>
      <c r="CS22" s="48">
        <f t="shared" si="62"/>
        <v>0</v>
      </c>
      <c r="CT22" s="48">
        <f t="shared" si="63"/>
        <v>0</v>
      </c>
      <c r="CU22" s="48">
        <f t="shared" si="64"/>
        <v>0</v>
      </c>
      <c r="CV22" s="48">
        <f t="shared" si="65"/>
        <v>0</v>
      </c>
      <c r="CW22" s="48">
        <f t="shared" si="66"/>
        <v>0</v>
      </c>
      <c r="CX22" s="48">
        <f t="shared" si="67"/>
        <v>0</v>
      </c>
      <c r="CY22" s="48">
        <f t="shared" si="68"/>
        <v>0</v>
      </c>
      <c r="CZ22" s="48">
        <f t="shared" si="69"/>
        <v>0</v>
      </c>
      <c r="DA22" s="48">
        <f t="shared" si="70"/>
        <v>0</v>
      </c>
      <c r="DB22" s="48">
        <f t="shared" si="71"/>
        <v>0</v>
      </c>
      <c r="DC22" s="48">
        <f t="shared" si="72"/>
        <v>0</v>
      </c>
      <c r="DD22" s="48">
        <f t="shared" si="73"/>
        <v>0</v>
      </c>
      <c r="DE22" s="48">
        <f t="shared" si="74"/>
        <v>0</v>
      </c>
      <c r="DF22" s="48">
        <f t="shared" si="75"/>
        <v>0</v>
      </c>
      <c r="DG22" s="48">
        <f t="shared" si="76"/>
        <v>0</v>
      </c>
      <c r="DH22" s="48">
        <f t="shared" si="77"/>
        <v>0</v>
      </c>
      <c r="DI22" s="48">
        <f t="shared" si="78"/>
        <v>0</v>
      </c>
      <c r="DJ22" s="48">
        <f t="shared" si="79"/>
        <v>0</v>
      </c>
      <c r="DK22" s="48">
        <f t="shared" si="80"/>
        <v>0</v>
      </c>
      <c r="DL22" s="48">
        <f t="shared" si="81"/>
        <v>0</v>
      </c>
      <c r="DM22" s="48">
        <f t="shared" si="82"/>
        <v>0</v>
      </c>
      <c r="DN22" s="48">
        <f t="shared" si="83"/>
        <v>0</v>
      </c>
      <c r="DO22" s="48">
        <f t="shared" si="84"/>
        <v>0</v>
      </c>
      <c r="DP22" s="48">
        <f t="shared" si="85"/>
        <v>0</v>
      </c>
      <c r="DQ22" s="48">
        <f t="shared" si="86"/>
        <v>0</v>
      </c>
      <c r="DR22" s="48">
        <f t="shared" si="87"/>
        <v>0</v>
      </c>
      <c r="DS22" s="48">
        <f t="shared" si="88"/>
        <v>0</v>
      </c>
      <c r="DT22" s="48">
        <f t="shared" si="89"/>
        <v>0</v>
      </c>
      <c r="DU22" s="48">
        <f t="shared" si="90"/>
        <v>0</v>
      </c>
      <c r="DV22" s="48">
        <f t="shared" si="91"/>
        <v>0</v>
      </c>
      <c r="DW22" s="48">
        <f t="shared" si="92"/>
        <v>0</v>
      </c>
      <c r="DX22" s="48">
        <f t="shared" si="93"/>
        <v>0</v>
      </c>
      <c r="DY22" s="48">
        <f t="shared" si="94"/>
        <v>0</v>
      </c>
      <c r="DZ22" s="48">
        <f t="shared" si="95"/>
        <v>0</v>
      </c>
      <c r="EA22" s="48">
        <f t="shared" si="96"/>
        <v>0</v>
      </c>
      <c r="EB22" s="48">
        <f t="shared" si="97"/>
        <v>0</v>
      </c>
      <c r="EC22" s="48">
        <f t="shared" si="98"/>
        <v>0</v>
      </c>
      <c r="ED22" s="48">
        <f t="shared" si="99"/>
        <v>0</v>
      </c>
      <c r="EE22" s="48">
        <f t="shared" si="100"/>
        <v>0</v>
      </c>
      <c r="EF22" s="48">
        <f t="shared" si="101"/>
        <v>0</v>
      </c>
      <c r="EG22" s="48">
        <f t="shared" si="102"/>
        <v>0</v>
      </c>
      <c r="EH22" s="48">
        <f t="shared" si="103"/>
        <v>0</v>
      </c>
      <c r="EI22" s="48">
        <f t="shared" si="104"/>
        <v>0</v>
      </c>
      <c r="EJ22" s="48">
        <f t="shared" si="105"/>
        <v>0</v>
      </c>
      <c r="EK22" s="48">
        <f t="shared" si="106"/>
        <v>0</v>
      </c>
      <c r="EL22" s="48">
        <f t="shared" si="107"/>
        <v>0</v>
      </c>
      <c r="EM22" s="48">
        <f t="shared" si="108"/>
        <v>0</v>
      </c>
      <c r="EN22" s="48">
        <f t="shared" si="109"/>
        <v>0</v>
      </c>
      <c r="EO22" s="48">
        <f t="shared" si="110"/>
        <v>0</v>
      </c>
      <c r="EP22" s="48">
        <f t="shared" si="111"/>
        <v>0</v>
      </c>
      <c r="EQ22" s="48">
        <f t="shared" si="112"/>
        <v>0</v>
      </c>
      <c r="ER22" s="48">
        <f t="shared" si="113"/>
        <v>0</v>
      </c>
      <c r="ES22" s="48">
        <f t="shared" si="114"/>
        <v>0</v>
      </c>
      <c r="ET22" s="48">
        <f t="shared" si="115"/>
        <v>0</v>
      </c>
      <c r="EU22" s="48">
        <f t="shared" si="116"/>
        <v>0</v>
      </c>
      <c r="EV22" s="48">
        <f t="shared" si="117"/>
        <v>0</v>
      </c>
      <c r="EW22" s="48">
        <f t="shared" si="118"/>
        <v>0</v>
      </c>
      <c r="EX22" s="48">
        <f t="shared" si="119"/>
        <v>0</v>
      </c>
      <c r="EY22" s="48">
        <f t="shared" si="120"/>
        <v>0</v>
      </c>
      <c r="EZ22" s="48">
        <f t="shared" si="121"/>
        <v>0</v>
      </c>
      <c r="FA22" s="48">
        <f t="shared" si="122"/>
        <v>0</v>
      </c>
      <c r="FB22" s="48">
        <f t="shared" si="123"/>
        <v>0</v>
      </c>
      <c r="FC22" s="48">
        <f t="shared" si="124"/>
        <v>0</v>
      </c>
      <c r="FD22" s="48">
        <f t="shared" si="125"/>
        <v>0</v>
      </c>
      <c r="FE22" s="48">
        <f t="shared" si="126"/>
        <v>0</v>
      </c>
      <c r="FF22" s="48">
        <f t="shared" si="127"/>
        <v>0</v>
      </c>
      <c r="FG22" s="48">
        <f t="shared" si="128"/>
        <v>0</v>
      </c>
      <c r="FH22" s="48">
        <f t="shared" si="129"/>
        <v>0</v>
      </c>
      <c r="FI22" s="48">
        <f t="shared" si="130"/>
        <v>0</v>
      </c>
      <c r="FJ22" s="48">
        <f t="shared" si="131"/>
        <v>0</v>
      </c>
      <c r="FK22" s="48">
        <f t="shared" si="132"/>
        <v>0</v>
      </c>
      <c r="FL22" s="48">
        <f t="shared" si="133"/>
        <v>0</v>
      </c>
      <c r="FM22" s="48">
        <f t="shared" si="134"/>
        <v>0</v>
      </c>
      <c r="FN22" s="48">
        <f t="shared" si="135"/>
        <v>0</v>
      </c>
      <c r="FO22" s="48">
        <f t="shared" si="136"/>
        <v>0</v>
      </c>
      <c r="FP22" s="48">
        <f t="shared" si="137"/>
        <v>0</v>
      </c>
      <c r="FQ22" s="48">
        <f t="shared" si="138"/>
        <v>0</v>
      </c>
      <c r="FR22" s="48">
        <f t="shared" si="139"/>
        <v>0</v>
      </c>
      <c r="FS22" s="48">
        <f t="shared" si="140"/>
        <v>0</v>
      </c>
      <c r="FT22" s="48">
        <f t="shared" si="141"/>
        <v>0</v>
      </c>
      <c r="FU22" s="48">
        <f t="shared" si="142"/>
        <v>0</v>
      </c>
      <c r="FV22" s="48">
        <f t="shared" si="143"/>
        <v>0</v>
      </c>
      <c r="FW22" s="48">
        <f t="shared" si="144"/>
        <v>0</v>
      </c>
      <c r="FX22" s="48">
        <f t="shared" si="145"/>
        <v>0</v>
      </c>
      <c r="FY22" s="48">
        <f t="shared" si="146"/>
        <v>0</v>
      </c>
      <c r="FZ22" s="48">
        <f t="shared" si="147"/>
        <v>0</v>
      </c>
      <c r="GA22" s="48">
        <f t="shared" si="148"/>
        <v>0</v>
      </c>
      <c r="GB22" s="48">
        <f t="shared" si="149"/>
        <v>0</v>
      </c>
      <c r="GC22" s="48">
        <f t="shared" si="150"/>
        <v>0</v>
      </c>
      <c r="GG22">
        <f t="shared" si="151"/>
        <v>0</v>
      </c>
    </row>
    <row r="23" spans="1:189" x14ac:dyDescent="0.25">
      <c r="A23" s="690"/>
      <c r="B23" s="690"/>
      <c r="C23" s="690"/>
      <c r="D23" s="690"/>
      <c r="E23" s="690"/>
      <c r="F23" s="690"/>
      <c r="G23" s="889"/>
      <c r="H23" s="690"/>
      <c r="I23" s="690"/>
      <c r="J23" s="690"/>
      <c r="K23" s="690"/>
      <c r="L23" s="690"/>
      <c r="M23" s="690"/>
      <c r="N23" s="507" t="str">
        <f t="shared" si="159"/>
        <v/>
      </c>
      <c r="O23" s="690"/>
      <c r="P23" s="507" t="str">
        <f t="shared" si="158"/>
        <v/>
      </c>
      <c r="Q23" s="690"/>
      <c r="R23" s="690"/>
      <c r="S23" s="690"/>
      <c r="T23" s="690"/>
      <c r="U23">
        <f t="shared" si="152"/>
        <v>0</v>
      </c>
      <c r="V23">
        <f t="shared" si="153"/>
        <v>0</v>
      </c>
      <c r="X23">
        <f t="shared" si="154"/>
        <v>0</v>
      </c>
      <c r="Y23">
        <f t="shared" si="155"/>
        <v>0</v>
      </c>
      <c r="Z23">
        <f t="shared" si="156"/>
        <v>0</v>
      </c>
      <c r="AA23">
        <f t="shared" si="157"/>
        <v>0</v>
      </c>
      <c r="AB23" s="25"/>
      <c r="AC23" s="25"/>
      <c r="AD23" s="25"/>
      <c r="AF23" s="48" t="s">
        <v>678</v>
      </c>
      <c r="AG23" s="689"/>
      <c r="AH23" s="689"/>
      <c r="AI23" s="48">
        <f t="shared" si="0"/>
        <v>0</v>
      </c>
      <c r="AJ23" s="48">
        <f t="shared" si="1"/>
        <v>0</v>
      </c>
      <c r="AK23" s="48">
        <f t="shared" si="2"/>
        <v>0</v>
      </c>
      <c r="AL23" s="48">
        <f t="shared" si="3"/>
        <v>0</v>
      </c>
      <c r="AM23" s="48">
        <f t="shared" si="4"/>
        <v>0</v>
      </c>
      <c r="AN23" s="48">
        <f t="shared" si="5"/>
        <v>0</v>
      </c>
      <c r="AO23" s="48">
        <f t="shared" si="6"/>
        <v>0</v>
      </c>
      <c r="AP23" s="48">
        <f t="shared" si="7"/>
        <v>0</v>
      </c>
      <c r="AQ23" s="48">
        <f t="shared" si="8"/>
        <v>0</v>
      </c>
      <c r="AR23" s="48">
        <f t="shared" si="9"/>
        <v>0</v>
      </c>
      <c r="AS23" s="48">
        <f t="shared" si="10"/>
        <v>0</v>
      </c>
      <c r="AT23" s="48">
        <f t="shared" si="11"/>
        <v>0</v>
      </c>
      <c r="AU23" s="48">
        <f t="shared" si="12"/>
        <v>0</v>
      </c>
      <c r="AV23" s="48">
        <f t="shared" si="13"/>
        <v>0</v>
      </c>
      <c r="AW23" s="48">
        <f t="shared" si="14"/>
        <v>0</v>
      </c>
      <c r="AX23" s="48">
        <f t="shared" si="15"/>
        <v>0</v>
      </c>
      <c r="AY23" s="48">
        <f t="shared" si="16"/>
        <v>0</v>
      </c>
      <c r="AZ23" s="48">
        <f t="shared" si="17"/>
        <v>0</v>
      </c>
      <c r="BA23" s="48">
        <f t="shared" si="18"/>
        <v>0</v>
      </c>
      <c r="BB23" s="48">
        <f t="shared" si="19"/>
        <v>0</v>
      </c>
      <c r="BC23" s="48">
        <f t="shared" si="20"/>
        <v>0</v>
      </c>
      <c r="BD23" s="48">
        <f t="shared" si="21"/>
        <v>0</v>
      </c>
      <c r="BE23" s="48">
        <f t="shared" si="22"/>
        <v>0</v>
      </c>
      <c r="BF23" s="48">
        <f t="shared" si="23"/>
        <v>0</v>
      </c>
      <c r="BG23" s="48">
        <f t="shared" si="24"/>
        <v>0</v>
      </c>
      <c r="BH23" s="48">
        <f t="shared" si="25"/>
        <v>0</v>
      </c>
      <c r="BI23" s="48">
        <f t="shared" si="26"/>
        <v>0</v>
      </c>
      <c r="BJ23" s="48">
        <f t="shared" si="27"/>
        <v>0</v>
      </c>
      <c r="BK23" s="48">
        <f t="shared" si="28"/>
        <v>0</v>
      </c>
      <c r="BL23" s="48">
        <f t="shared" si="29"/>
        <v>0</v>
      </c>
      <c r="BM23" s="48">
        <f t="shared" si="30"/>
        <v>0</v>
      </c>
      <c r="BN23" s="48">
        <f t="shared" si="31"/>
        <v>0</v>
      </c>
      <c r="BO23" s="48">
        <f t="shared" si="32"/>
        <v>0</v>
      </c>
      <c r="BP23" s="48">
        <f t="shared" si="33"/>
        <v>0</v>
      </c>
      <c r="BQ23" s="48">
        <f t="shared" si="34"/>
        <v>0</v>
      </c>
      <c r="BR23" s="48">
        <f t="shared" si="35"/>
        <v>0</v>
      </c>
      <c r="BS23" s="48">
        <f t="shared" si="36"/>
        <v>0</v>
      </c>
      <c r="BT23" s="48">
        <f t="shared" si="37"/>
        <v>0</v>
      </c>
      <c r="BU23" s="48">
        <f t="shared" si="38"/>
        <v>0</v>
      </c>
      <c r="BV23" s="48">
        <f t="shared" si="39"/>
        <v>0</v>
      </c>
      <c r="BW23" s="48">
        <f t="shared" si="40"/>
        <v>0</v>
      </c>
      <c r="BX23" s="48">
        <f t="shared" si="41"/>
        <v>0</v>
      </c>
      <c r="BY23" s="48">
        <f t="shared" si="42"/>
        <v>0</v>
      </c>
      <c r="BZ23" s="48">
        <f t="shared" si="43"/>
        <v>0</v>
      </c>
      <c r="CA23" s="48">
        <f t="shared" si="44"/>
        <v>0</v>
      </c>
      <c r="CB23" s="48">
        <f t="shared" si="45"/>
        <v>0</v>
      </c>
      <c r="CC23" s="48">
        <f t="shared" si="46"/>
        <v>0</v>
      </c>
      <c r="CD23" s="48">
        <f t="shared" si="47"/>
        <v>0</v>
      </c>
      <c r="CE23" s="48">
        <f t="shared" si="48"/>
        <v>0</v>
      </c>
      <c r="CF23" s="48">
        <f t="shared" si="49"/>
        <v>0</v>
      </c>
      <c r="CG23" s="48">
        <f t="shared" si="50"/>
        <v>0</v>
      </c>
      <c r="CH23" s="48">
        <f t="shared" si="51"/>
        <v>0</v>
      </c>
      <c r="CI23" s="48">
        <f t="shared" si="52"/>
        <v>0</v>
      </c>
      <c r="CJ23" s="48">
        <f t="shared" si="53"/>
        <v>0</v>
      </c>
      <c r="CK23" s="48">
        <f t="shared" si="54"/>
        <v>0</v>
      </c>
      <c r="CL23" s="48">
        <f t="shared" si="55"/>
        <v>0</v>
      </c>
      <c r="CM23" s="48">
        <f t="shared" si="56"/>
        <v>0</v>
      </c>
      <c r="CN23" s="48">
        <f t="shared" si="57"/>
        <v>0</v>
      </c>
      <c r="CO23" s="48">
        <f t="shared" si="58"/>
        <v>0</v>
      </c>
      <c r="CP23" s="48">
        <f t="shared" si="59"/>
        <v>0</v>
      </c>
      <c r="CQ23" s="48">
        <f t="shared" si="60"/>
        <v>0</v>
      </c>
      <c r="CR23" s="48">
        <f t="shared" si="61"/>
        <v>0</v>
      </c>
      <c r="CS23" s="48">
        <f t="shared" si="62"/>
        <v>0</v>
      </c>
      <c r="CT23" s="48">
        <f t="shared" si="63"/>
        <v>0</v>
      </c>
      <c r="CU23" s="48">
        <f t="shared" si="64"/>
        <v>0</v>
      </c>
      <c r="CV23" s="48">
        <f t="shared" si="65"/>
        <v>0</v>
      </c>
      <c r="CW23" s="48">
        <f t="shared" si="66"/>
        <v>0</v>
      </c>
      <c r="CX23" s="48">
        <f t="shared" si="67"/>
        <v>0</v>
      </c>
      <c r="CY23" s="48">
        <f t="shared" si="68"/>
        <v>0</v>
      </c>
      <c r="CZ23" s="48">
        <f t="shared" si="69"/>
        <v>0</v>
      </c>
      <c r="DA23" s="48">
        <f t="shared" si="70"/>
        <v>0</v>
      </c>
      <c r="DB23" s="48">
        <f t="shared" si="71"/>
        <v>0</v>
      </c>
      <c r="DC23" s="48">
        <f t="shared" si="72"/>
        <v>0</v>
      </c>
      <c r="DD23" s="48">
        <f t="shared" si="73"/>
        <v>0</v>
      </c>
      <c r="DE23" s="48">
        <f t="shared" si="74"/>
        <v>0</v>
      </c>
      <c r="DF23" s="48">
        <f t="shared" si="75"/>
        <v>0</v>
      </c>
      <c r="DG23" s="48">
        <f t="shared" si="76"/>
        <v>0</v>
      </c>
      <c r="DH23" s="48">
        <f t="shared" si="77"/>
        <v>0</v>
      </c>
      <c r="DI23" s="48">
        <f t="shared" si="78"/>
        <v>0</v>
      </c>
      <c r="DJ23" s="48">
        <f t="shared" si="79"/>
        <v>0</v>
      </c>
      <c r="DK23" s="48">
        <f t="shared" si="80"/>
        <v>0</v>
      </c>
      <c r="DL23" s="48">
        <f t="shared" si="81"/>
        <v>0</v>
      </c>
      <c r="DM23" s="48">
        <f t="shared" si="82"/>
        <v>0</v>
      </c>
      <c r="DN23" s="48">
        <f t="shared" si="83"/>
        <v>0</v>
      </c>
      <c r="DO23" s="48">
        <f t="shared" si="84"/>
        <v>0</v>
      </c>
      <c r="DP23" s="48">
        <f t="shared" si="85"/>
        <v>0</v>
      </c>
      <c r="DQ23" s="48">
        <f t="shared" si="86"/>
        <v>0</v>
      </c>
      <c r="DR23" s="48">
        <f t="shared" si="87"/>
        <v>0</v>
      </c>
      <c r="DS23" s="48">
        <f t="shared" si="88"/>
        <v>0</v>
      </c>
      <c r="DT23" s="48">
        <f t="shared" si="89"/>
        <v>0</v>
      </c>
      <c r="DU23" s="48">
        <f t="shared" si="90"/>
        <v>0</v>
      </c>
      <c r="DV23" s="48">
        <f t="shared" si="91"/>
        <v>0</v>
      </c>
      <c r="DW23" s="48">
        <f t="shared" si="92"/>
        <v>0</v>
      </c>
      <c r="DX23" s="48">
        <f t="shared" si="93"/>
        <v>0</v>
      </c>
      <c r="DY23" s="48">
        <f t="shared" si="94"/>
        <v>0</v>
      </c>
      <c r="DZ23" s="48">
        <f t="shared" si="95"/>
        <v>0</v>
      </c>
      <c r="EA23" s="48">
        <f t="shared" si="96"/>
        <v>0</v>
      </c>
      <c r="EB23" s="48">
        <f t="shared" si="97"/>
        <v>0</v>
      </c>
      <c r="EC23" s="48">
        <f t="shared" si="98"/>
        <v>0</v>
      </c>
      <c r="ED23" s="48">
        <f t="shared" si="99"/>
        <v>0</v>
      </c>
      <c r="EE23" s="48">
        <f t="shared" si="100"/>
        <v>0</v>
      </c>
      <c r="EF23" s="48">
        <f t="shared" si="101"/>
        <v>0</v>
      </c>
      <c r="EG23" s="48">
        <f t="shared" si="102"/>
        <v>0</v>
      </c>
      <c r="EH23" s="48">
        <f t="shared" si="103"/>
        <v>0</v>
      </c>
      <c r="EI23" s="48">
        <f t="shared" si="104"/>
        <v>0</v>
      </c>
      <c r="EJ23" s="48">
        <f t="shared" si="105"/>
        <v>0</v>
      </c>
      <c r="EK23" s="48">
        <f t="shared" si="106"/>
        <v>0</v>
      </c>
      <c r="EL23" s="48">
        <f t="shared" si="107"/>
        <v>0</v>
      </c>
      <c r="EM23" s="48">
        <f t="shared" si="108"/>
        <v>0</v>
      </c>
      <c r="EN23" s="48">
        <f t="shared" si="109"/>
        <v>0</v>
      </c>
      <c r="EO23" s="48">
        <f t="shared" si="110"/>
        <v>0</v>
      </c>
      <c r="EP23" s="48">
        <f t="shared" si="111"/>
        <v>0</v>
      </c>
      <c r="EQ23" s="48">
        <f t="shared" si="112"/>
        <v>0</v>
      </c>
      <c r="ER23" s="48">
        <f t="shared" si="113"/>
        <v>0</v>
      </c>
      <c r="ES23" s="48">
        <f t="shared" si="114"/>
        <v>0</v>
      </c>
      <c r="ET23" s="48">
        <f t="shared" si="115"/>
        <v>0</v>
      </c>
      <c r="EU23" s="48">
        <f t="shared" si="116"/>
        <v>0</v>
      </c>
      <c r="EV23" s="48">
        <f t="shared" si="117"/>
        <v>0</v>
      </c>
      <c r="EW23" s="48">
        <f t="shared" si="118"/>
        <v>0</v>
      </c>
      <c r="EX23" s="48">
        <f t="shared" si="119"/>
        <v>0</v>
      </c>
      <c r="EY23" s="48">
        <f t="shared" si="120"/>
        <v>0</v>
      </c>
      <c r="EZ23" s="48">
        <f t="shared" si="121"/>
        <v>0</v>
      </c>
      <c r="FA23" s="48">
        <f t="shared" si="122"/>
        <v>0</v>
      </c>
      <c r="FB23" s="48">
        <f t="shared" si="123"/>
        <v>0</v>
      </c>
      <c r="FC23" s="48">
        <f t="shared" si="124"/>
        <v>0</v>
      </c>
      <c r="FD23" s="48">
        <f t="shared" si="125"/>
        <v>0</v>
      </c>
      <c r="FE23" s="48">
        <f t="shared" si="126"/>
        <v>0</v>
      </c>
      <c r="FF23" s="48">
        <f t="shared" si="127"/>
        <v>0</v>
      </c>
      <c r="FG23" s="48">
        <f t="shared" si="128"/>
        <v>0</v>
      </c>
      <c r="FH23" s="48">
        <f t="shared" si="129"/>
        <v>0</v>
      </c>
      <c r="FI23" s="48">
        <f t="shared" si="130"/>
        <v>0</v>
      </c>
      <c r="FJ23" s="48">
        <f t="shared" si="131"/>
        <v>0</v>
      </c>
      <c r="FK23" s="48">
        <f t="shared" si="132"/>
        <v>0</v>
      </c>
      <c r="FL23" s="48">
        <f t="shared" si="133"/>
        <v>0</v>
      </c>
      <c r="FM23" s="48">
        <f t="shared" si="134"/>
        <v>0</v>
      </c>
      <c r="FN23" s="48">
        <f t="shared" si="135"/>
        <v>0</v>
      </c>
      <c r="FO23" s="48">
        <f t="shared" si="136"/>
        <v>0</v>
      </c>
      <c r="FP23" s="48">
        <f t="shared" si="137"/>
        <v>0</v>
      </c>
      <c r="FQ23" s="48">
        <f t="shared" si="138"/>
        <v>0</v>
      </c>
      <c r="FR23" s="48">
        <f t="shared" si="139"/>
        <v>0</v>
      </c>
      <c r="FS23" s="48">
        <f t="shared" si="140"/>
        <v>0</v>
      </c>
      <c r="FT23" s="48">
        <f t="shared" si="141"/>
        <v>0</v>
      </c>
      <c r="FU23" s="48">
        <f t="shared" si="142"/>
        <v>0</v>
      </c>
      <c r="FV23" s="48">
        <f t="shared" si="143"/>
        <v>0</v>
      </c>
      <c r="FW23" s="48">
        <f t="shared" si="144"/>
        <v>0</v>
      </c>
      <c r="FX23" s="48">
        <f t="shared" si="145"/>
        <v>0</v>
      </c>
      <c r="FY23" s="48">
        <f t="shared" si="146"/>
        <v>0</v>
      </c>
      <c r="FZ23" s="48">
        <f t="shared" si="147"/>
        <v>0</v>
      </c>
      <c r="GA23" s="48">
        <f t="shared" si="148"/>
        <v>0</v>
      </c>
      <c r="GB23" s="48">
        <f t="shared" si="149"/>
        <v>0</v>
      </c>
      <c r="GC23" s="48">
        <f t="shared" si="150"/>
        <v>0</v>
      </c>
      <c r="GG23">
        <f t="shared" si="151"/>
        <v>0</v>
      </c>
    </row>
    <row r="24" spans="1:189" x14ac:dyDescent="0.25">
      <c r="A24" s="690"/>
      <c r="B24" s="690"/>
      <c r="C24" s="690"/>
      <c r="D24" s="690"/>
      <c r="E24" s="690"/>
      <c r="F24" s="690"/>
      <c r="G24" s="889"/>
      <c r="H24" s="690"/>
      <c r="I24" s="690"/>
      <c r="J24" s="690"/>
      <c r="K24" s="690"/>
      <c r="L24" s="690"/>
      <c r="M24" s="690"/>
      <c r="N24" s="507" t="str">
        <f t="shared" si="159"/>
        <v/>
      </c>
      <c r="O24" s="690"/>
      <c r="P24" s="507" t="str">
        <f t="shared" si="158"/>
        <v/>
      </c>
      <c r="Q24" s="690"/>
      <c r="R24" s="690"/>
      <c r="S24" s="690"/>
      <c r="T24" s="690"/>
      <c r="U24">
        <f t="shared" si="152"/>
        <v>0</v>
      </c>
      <c r="V24">
        <f t="shared" si="153"/>
        <v>0</v>
      </c>
      <c r="X24">
        <f t="shared" si="154"/>
        <v>0</v>
      </c>
      <c r="Y24">
        <f t="shared" si="155"/>
        <v>0</v>
      </c>
      <c r="Z24">
        <f t="shared" si="156"/>
        <v>0</v>
      </c>
      <c r="AA24">
        <f t="shared" si="157"/>
        <v>0</v>
      </c>
      <c r="AB24" s="25"/>
      <c r="AC24" s="25"/>
      <c r="AD24" s="25"/>
      <c r="AF24" s="48" t="s">
        <v>679</v>
      </c>
      <c r="AG24" s="689"/>
      <c r="AH24" s="689"/>
      <c r="AI24" s="48">
        <f t="shared" si="0"/>
        <v>0</v>
      </c>
      <c r="AJ24" s="48">
        <f t="shared" si="1"/>
        <v>0</v>
      </c>
      <c r="AK24" s="48">
        <f t="shared" si="2"/>
        <v>0</v>
      </c>
      <c r="AL24" s="48">
        <f t="shared" si="3"/>
        <v>0</v>
      </c>
      <c r="AM24" s="48">
        <f t="shared" si="4"/>
        <v>0</v>
      </c>
      <c r="AN24" s="48">
        <f t="shared" si="5"/>
        <v>0</v>
      </c>
      <c r="AO24" s="48">
        <f t="shared" si="6"/>
        <v>0</v>
      </c>
      <c r="AP24" s="48">
        <f t="shared" si="7"/>
        <v>0</v>
      </c>
      <c r="AQ24" s="48">
        <f t="shared" si="8"/>
        <v>0</v>
      </c>
      <c r="AR24" s="48">
        <f t="shared" si="9"/>
        <v>0</v>
      </c>
      <c r="AS24" s="48">
        <f t="shared" si="10"/>
        <v>0</v>
      </c>
      <c r="AT24" s="48">
        <f t="shared" si="11"/>
        <v>0</v>
      </c>
      <c r="AU24" s="48">
        <f t="shared" si="12"/>
        <v>0</v>
      </c>
      <c r="AV24" s="48">
        <f t="shared" si="13"/>
        <v>0</v>
      </c>
      <c r="AW24" s="48">
        <f t="shared" si="14"/>
        <v>0</v>
      </c>
      <c r="AX24" s="48">
        <f t="shared" si="15"/>
        <v>0</v>
      </c>
      <c r="AY24" s="48">
        <f t="shared" si="16"/>
        <v>0</v>
      </c>
      <c r="AZ24" s="48">
        <f t="shared" si="17"/>
        <v>0</v>
      </c>
      <c r="BA24" s="48">
        <f t="shared" si="18"/>
        <v>0</v>
      </c>
      <c r="BB24" s="48">
        <f t="shared" si="19"/>
        <v>0</v>
      </c>
      <c r="BC24" s="48">
        <f t="shared" si="20"/>
        <v>0</v>
      </c>
      <c r="BD24" s="48">
        <f t="shared" si="21"/>
        <v>0</v>
      </c>
      <c r="BE24" s="48">
        <f t="shared" si="22"/>
        <v>0</v>
      </c>
      <c r="BF24" s="48">
        <f t="shared" si="23"/>
        <v>0</v>
      </c>
      <c r="BG24" s="48">
        <f t="shared" si="24"/>
        <v>0</v>
      </c>
      <c r="BH24" s="48">
        <f t="shared" si="25"/>
        <v>0</v>
      </c>
      <c r="BI24" s="48">
        <f t="shared" si="26"/>
        <v>0</v>
      </c>
      <c r="BJ24" s="48">
        <f t="shared" si="27"/>
        <v>0</v>
      </c>
      <c r="BK24" s="48">
        <f t="shared" si="28"/>
        <v>0</v>
      </c>
      <c r="BL24" s="48">
        <f t="shared" si="29"/>
        <v>0</v>
      </c>
      <c r="BM24" s="48">
        <f t="shared" si="30"/>
        <v>0</v>
      </c>
      <c r="BN24" s="48">
        <f t="shared" si="31"/>
        <v>0</v>
      </c>
      <c r="BO24" s="48">
        <f t="shared" si="32"/>
        <v>0</v>
      </c>
      <c r="BP24" s="48">
        <f t="shared" si="33"/>
        <v>0</v>
      </c>
      <c r="BQ24" s="48">
        <f t="shared" si="34"/>
        <v>0</v>
      </c>
      <c r="BR24" s="48">
        <f t="shared" si="35"/>
        <v>0</v>
      </c>
      <c r="BS24" s="48">
        <f t="shared" si="36"/>
        <v>0</v>
      </c>
      <c r="BT24" s="48">
        <f t="shared" si="37"/>
        <v>0</v>
      </c>
      <c r="BU24" s="48">
        <f t="shared" si="38"/>
        <v>0</v>
      </c>
      <c r="BV24" s="48">
        <f t="shared" si="39"/>
        <v>0</v>
      </c>
      <c r="BW24" s="48">
        <f t="shared" si="40"/>
        <v>0</v>
      </c>
      <c r="BX24" s="48">
        <f t="shared" si="41"/>
        <v>0</v>
      </c>
      <c r="BY24" s="48">
        <f t="shared" si="42"/>
        <v>0</v>
      </c>
      <c r="BZ24" s="48">
        <f t="shared" si="43"/>
        <v>0</v>
      </c>
      <c r="CA24" s="48">
        <f t="shared" si="44"/>
        <v>0</v>
      </c>
      <c r="CB24" s="48">
        <f t="shared" si="45"/>
        <v>0</v>
      </c>
      <c r="CC24" s="48">
        <f t="shared" si="46"/>
        <v>0</v>
      </c>
      <c r="CD24" s="48">
        <f t="shared" si="47"/>
        <v>0</v>
      </c>
      <c r="CE24" s="48">
        <f t="shared" si="48"/>
        <v>0</v>
      </c>
      <c r="CF24" s="48">
        <f t="shared" si="49"/>
        <v>0</v>
      </c>
      <c r="CG24" s="48">
        <f t="shared" si="50"/>
        <v>0</v>
      </c>
      <c r="CH24" s="48">
        <f t="shared" si="51"/>
        <v>0</v>
      </c>
      <c r="CI24" s="48">
        <f t="shared" si="52"/>
        <v>0</v>
      </c>
      <c r="CJ24" s="48">
        <f t="shared" si="53"/>
        <v>0</v>
      </c>
      <c r="CK24" s="48">
        <f t="shared" si="54"/>
        <v>0</v>
      </c>
      <c r="CL24" s="48">
        <f t="shared" si="55"/>
        <v>0</v>
      </c>
      <c r="CM24" s="48">
        <f t="shared" si="56"/>
        <v>0</v>
      </c>
      <c r="CN24" s="48">
        <f t="shared" si="57"/>
        <v>0</v>
      </c>
      <c r="CO24" s="48">
        <f t="shared" si="58"/>
        <v>0</v>
      </c>
      <c r="CP24" s="48">
        <f t="shared" si="59"/>
        <v>0</v>
      </c>
      <c r="CQ24" s="48">
        <f t="shared" si="60"/>
        <v>0</v>
      </c>
      <c r="CR24" s="48">
        <f t="shared" si="61"/>
        <v>0</v>
      </c>
      <c r="CS24" s="48">
        <f t="shared" si="62"/>
        <v>0</v>
      </c>
      <c r="CT24" s="48">
        <f t="shared" si="63"/>
        <v>0</v>
      </c>
      <c r="CU24" s="48">
        <f t="shared" si="64"/>
        <v>0</v>
      </c>
      <c r="CV24" s="48">
        <f t="shared" si="65"/>
        <v>0</v>
      </c>
      <c r="CW24" s="48">
        <f t="shared" si="66"/>
        <v>0</v>
      </c>
      <c r="CX24" s="48">
        <f t="shared" si="67"/>
        <v>0</v>
      </c>
      <c r="CY24" s="48">
        <f t="shared" si="68"/>
        <v>0</v>
      </c>
      <c r="CZ24" s="48">
        <f t="shared" si="69"/>
        <v>0</v>
      </c>
      <c r="DA24" s="48">
        <f t="shared" si="70"/>
        <v>0</v>
      </c>
      <c r="DB24" s="48">
        <f t="shared" si="71"/>
        <v>0</v>
      </c>
      <c r="DC24" s="48">
        <f t="shared" si="72"/>
        <v>0</v>
      </c>
      <c r="DD24" s="48">
        <f t="shared" si="73"/>
        <v>0</v>
      </c>
      <c r="DE24" s="48">
        <f t="shared" si="74"/>
        <v>0</v>
      </c>
      <c r="DF24" s="48">
        <f t="shared" si="75"/>
        <v>0</v>
      </c>
      <c r="DG24" s="48">
        <f t="shared" si="76"/>
        <v>0</v>
      </c>
      <c r="DH24" s="48">
        <f t="shared" si="77"/>
        <v>0</v>
      </c>
      <c r="DI24" s="48">
        <f t="shared" si="78"/>
        <v>0</v>
      </c>
      <c r="DJ24" s="48">
        <f t="shared" si="79"/>
        <v>0</v>
      </c>
      <c r="DK24" s="48">
        <f t="shared" si="80"/>
        <v>0</v>
      </c>
      <c r="DL24" s="48">
        <f t="shared" si="81"/>
        <v>0</v>
      </c>
      <c r="DM24" s="48">
        <f t="shared" si="82"/>
        <v>0</v>
      </c>
      <c r="DN24" s="48">
        <f t="shared" si="83"/>
        <v>0</v>
      </c>
      <c r="DO24" s="48">
        <f t="shared" si="84"/>
        <v>0</v>
      </c>
      <c r="DP24" s="48">
        <f t="shared" si="85"/>
        <v>0</v>
      </c>
      <c r="DQ24" s="48">
        <f t="shared" si="86"/>
        <v>0</v>
      </c>
      <c r="DR24" s="48">
        <f t="shared" si="87"/>
        <v>0</v>
      </c>
      <c r="DS24" s="48">
        <f t="shared" si="88"/>
        <v>0</v>
      </c>
      <c r="DT24" s="48">
        <f t="shared" si="89"/>
        <v>0</v>
      </c>
      <c r="DU24" s="48">
        <f t="shared" si="90"/>
        <v>0</v>
      </c>
      <c r="DV24" s="48">
        <f t="shared" si="91"/>
        <v>0</v>
      </c>
      <c r="DW24" s="48">
        <f t="shared" si="92"/>
        <v>0</v>
      </c>
      <c r="DX24" s="48">
        <f t="shared" si="93"/>
        <v>0</v>
      </c>
      <c r="DY24" s="48">
        <f t="shared" si="94"/>
        <v>0</v>
      </c>
      <c r="DZ24" s="48">
        <f t="shared" si="95"/>
        <v>0</v>
      </c>
      <c r="EA24" s="48">
        <f t="shared" si="96"/>
        <v>0</v>
      </c>
      <c r="EB24" s="48">
        <f t="shared" si="97"/>
        <v>0</v>
      </c>
      <c r="EC24" s="48">
        <f t="shared" si="98"/>
        <v>0</v>
      </c>
      <c r="ED24" s="48">
        <f t="shared" si="99"/>
        <v>0</v>
      </c>
      <c r="EE24" s="48">
        <f t="shared" si="100"/>
        <v>0</v>
      </c>
      <c r="EF24" s="48">
        <f t="shared" si="101"/>
        <v>0</v>
      </c>
      <c r="EG24" s="48">
        <f t="shared" si="102"/>
        <v>0</v>
      </c>
      <c r="EH24" s="48">
        <f t="shared" si="103"/>
        <v>0</v>
      </c>
      <c r="EI24" s="48">
        <f t="shared" si="104"/>
        <v>0</v>
      </c>
      <c r="EJ24" s="48">
        <f t="shared" si="105"/>
        <v>0</v>
      </c>
      <c r="EK24" s="48">
        <f t="shared" si="106"/>
        <v>0</v>
      </c>
      <c r="EL24" s="48">
        <f t="shared" si="107"/>
        <v>0</v>
      </c>
      <c r="EM24" s="48">
        <f t="shared" si="108"/>
        <v>0</v>
      </c>
      <c r="EN24" s="48">
        <f t="shared" si="109"/>
        <v>0</v>
      </c>
      <c r="EO24" s="48">
        <f t="shared" si="110"/>
        <v>0</v>
      </c>
      <c r="EP24" s="48">
        <f t="shared" si="111"/>
        <v>0</v>
      </c>
      <c r="EQ24" s="48">
        <f t="shared" si="112"/>
        <v>0</v>
      </c>
      <c r="ER24" s="48">
        <f t="shared" si="113"/>
        <v>0</v>
      </c>
      <c r="ES24" s="48">
        <f t="shared" si="114"/>
        <v>0</v>
      </c>
      <c r="ET24" s="48">
        <f t="shared" si="115"/>
        <v>0</v>
      </c>
      <c r="EU24" s="48">
        <f t="shared" si="116"/>
        <v>0</v>
      </c>
      <c r="EV24" s="48">
        <f t="shared" si="117"/>
        <v>0</v>
      </c>
      <c r="EW24" s="48">
        <f t="shared" si="118"/>
        <v>0</v>
      </c>
      <c r="EX24" s="48">
        <f t="shared" si="119"/>
        <v>0</v>
      </c>
      <c r="EY24" s="48">
        <f t="shared" si="120"/>
        <v>0</v>
      </c>
      <c r="EZ24" s="48">
        <f t="shared" si="121"/>
        <v>0</v>
      </c>
      <c r="FA24" s="48">
        <f t="shared" si="122"/>
        <v>0</v>
      </c>
      <c r="FB24" s="48">
        <f t="shared" si="123"/>
        <v>0</v>
      </c>
      <c r="FC24" s="48">
        <f t="shared" si="124"/>
        <v>0</v>
      </c>
      <c r="FD24" s="48">
        <f t="shared" si="125"/>
        <v>0</v>
      </c>
      <c r="FE24" s="48">
        <f t="shared" si="126"/>
        <v>0</v>
      </c>
      <c r="FF24" s="48">
        <f t="shared" si="127"/>
        <v>0</v>
      </c>
      <c r="FG24" s="48">
        <f t="shared" si="128"/>
        <v>0</v>
      </c>
      <c r="FH24" s="48">
        <f t="shared" si="129"/>
        <v>0</v>
      </c>
      <c r="FI24" s="48">
        <f t="shared" si="130"/>
        <v>0</v>
      </c>
      <c r="FJ24" s="48">
        <f t="shared" si="131"/>
        <v>0</v>
      </c>
      <c r="FK24" s="48">
        <f t="shared" si="132"/>
        <v>0</v>
      </c>
      <c r="FL24" s="48">
        <f t="shared" si="133"/>
        <v>0</v>
      </c>
      <c r="FM24" s="48">
        <f t="shared" si="134"/>
        <v>0</v>
      </c>
      <c r="FN24" s="48">
        <f t="shared" si="135"/>
        <v>0</v>
      </c>
      <c r="FO24" s="48">
        <f t="shared" si="136"/>
        <v>0</v>
      </c>
      <c r="FP24" s="48">
        <f t="shared" si="137"/>
        <v>0</v>
      </c>
      <c r="FQ24" s="48">
        <f t="shared" si="138"/>
        <v>0</v>
      </c>
      <c r="FR24" s="48">
        <f t="shared" si="139"/>
        <v>0</v>
      </c>
      <c r="FS24" s="48">
        <f t="shared" si="140"/>
        <v>0</v>
      </c>
      <c r="FT24" s="48">
        <f t="shared" si="141"/>
        <v>0</v>
      </c>
      <c r="FU24" s="48">
        <f t="shared" si="142"/>
        <v>0</v>
      </c>
      <c r="FV24" s="48">
        <f t="shared" si="143"/>
        <v>0</v>
      </c>
      <c r="FW24" s="48">
        <f t="shared" si="144"/>
        <v>0</v>
      </c>
      <c r="FX24" s="48">
        <f t="shared" si="145"/>
        <v>0</v>
      </c>
      <c r="FY24" s="48">
        <f t="shared" si="146"/>
        <v>0</v>
      </c>
      <c r="FZ24" s="48">
        <f t="shared" si="147"/>
        <v>0</v>
      </c>
      <c r="GA24" s="48">
        <f t="shared" si="148"/>
        <v>0</v>
      </c>
      <c r="GB24" s="48">
        <f t="shared" si="149"/>
        <v>0</v>
      </c>
      <c r="GC24" s="48">
        <f t="shared" si="150"/>
        <v>0</v>
      </c>
      <c r="GG24">
        <f t="shared" si="151"/>
        <v>0</v>
      </c>
    </row>
    <row r="25" spans="1:189" x14ac:dyDescent="0.25">
      <c r="A25" s="690"/>
      <c r="B25" s="690"/>
      <c r="C25" s="690"/>
      <c r="D25" s="690"/>
      <c r="E25" s="690"/>
      <c r="F25" s="690"/>
      <c r="G25" s="889"/>
      <c r="H25" s="690"/>
      <c r="I25" s="690"/>
      <c r="J25" s="690"/>
      <c r="K25" s="690"/>
      <c r="L25" s="690"/>
      <c r="M25" s="690"/>
      <c r="N25" s="507" t="str">
        <f t="shared" si="159"/>
        <v/>
      </c>
      <c r="O25" s="690"/>
      <c r="P25" s="507" t="str">
        <f t="shared" si="158"/>
        <v/>
      </c>
      <c r="Q25" s="690"/>
      <c r="R25" s="690"/>
      <c r="S25" s="690"/>
      <c r="T25" s="690"/>
      <c r="U25">
        <f t="shared" si="152"/>
        <v>0</v>
      </c>
      <c r="V25">
        <f t="shared" si="153"/>
        <v>0</v>
      </c>
      <c r="X25">
        <f t="shared" si="154"/>
        <v>0</v>
      </c>
      <c r="Y25">
        <f t="shared" si="155"/>
        <v>0</v>
      </c>
      <c r="Z25">
        <f t="shared" si="156"/>
        <v>0</v>
      </c>
      <c r="AA25">
        <f t="shared" si="157"/>
        <v>0</v>
      </c>
      <c r="AB25" s="25"/>
      <c r="AC25" s="25"/>
      <c r="AD25" s="25"/>
      <c r="AF25" s="48" t="s">
        <v>680</v>
      </c>
      <c r="AG25" s="689"/>
      <c r="AH25" s="689"/>
      <c r="AI25" s="48">
        <f t="shared" si="0"/>
        <v>0</v>
      </c>
      <c r="AJ25" s="48">
        <f t="shared" si="1"/>
        <v>0</v>
      </c>
      <c r="AK25" s="48">
        <f t="shared" si="2"/>
        <v>0</v>
      </c>
      <c r="AL25" s="48">
        <f t="shared" si="3"/>
        <v>0</v>
      </c>
      <c r="AM25" s="48">
        <f t="shared" si="4"/>
        <v>0</v>
      </c>
      <c r="AN25" s="48">
        <f t="shared" si="5"/>
        <v>0</v>
      </c>
      <c r="AO25" s="48">
        <f t="shared" si="6"/>
        <v>0</v>
      </c>
      <c r="AP25" s="48">
        <f t="shared" si="7"/>
        <v>0</v>
      </c>
      <c r="AQ25" s="48">
        <f t="shared" si="8"/>
        <v>0</v>
      </c>
      <c r="AR25" s="48">
        <f t="shared" si="9"/>
        <v>0</v>
      </c>
      <c r="AS25" s="48">
        <f t="shared" si="10"/>
        <v>0</v>
      </c>
      <c r="AT25" s="48">
        <f t="shared" si="11"/>
        <v>0</v>
      </c>
      <c r="AU25" s="48">
        <f t="shared" si="12"/>
        <v>0</v>
      </c>
      <c r="AV25" s="48">
        <f t="shared" si="13"/>
        <v>0</v>
      </c>
      <c r="AW25" s="48">
        <f t="shared" si="14"/>
        <v>0</v>
      </c>
      <c r="AX25" s="48">
        <f t="shared" si="15"/>
        <v>0</v>
      </c>
      <c r="AY25" s="48">
        <f t="shared" si="16"/>
        <v>0</v>
      </c>
      <c r="AZ25" s="48">
        <f t="shared" si="17"/>
        <v>0</v>
      </c>
      <c r="BA25" s="48">
        <f t="shared" si="18"/>
        <v>0</v>
      </c>
      <c r="BB25" s="48">
        <f t="shared" si="19"/>
        <v>0</v>
      </c>
      <c r="BC25" s="48">
        <f t="shared" si="20"/>
        <v>0</v>
      </c>
      <c r="BD25" s="48">
        <f t="shared" si="21"/>
        <v>0</v>
      </c>
      <c r="BE25" s="48">
        <f t="shared" si="22"/>
        <v>0</v>
      </c>
      <c r="BF25" s="48">
        <f t="shared" si="23"/>
        <v>0</v>
      </c>
      <c r="BG25" s="48">
        <f t="shared" si="24"/>
        <v>0</v>
      </c>
      <c r="BH25" s="48">
        <f t="shared" si="25"/>
        <v>0</v>
      </c>
      <c r="BI25" s="48">
        <f t="shared" si="26"/>
        <v>0</v>
      </c>
      <c r="BJ25" s="48">
        <f t="shared" si="27"/>
        <v>0</v>
      </c>
      <c r="BK25" s="48">
        <f t="shared" si="28"/>
        <v>0</v>
      </c>
      <c r="BL25" s="48">
        <f t="shared" si="29"/>
        <v>0</v>
      </c>
      <c r="BM25" s="48">
        <f t="shared" si="30"/>
        <v>0</v>
      </c>
      <c r="BN25" s="48">
        <f t="shared" si="31"/>
        <v>0</v>
      </c>
      <c r="BO25" s="48">
        <f t="shared" si="32"/>
        <v>0</v>
      </c>
      <c r="BP25" s="48">
        <f t="shared" si="33"/>
        <v>0</v>
      </c>
      <c r="BQ25" s="48">
        <f t="shared" si="34"/>
        <v>0</v>
      </c>
      <c r="BR25" s="48">
        <f t="shared" si="35"/>
        <v>0</v>
      </c>
      <c r="BS25" s="48">
        <f t="shared" si="36"/>
        <v>0</v>
      </c>
      <c r="BT25" s="48">
        <f t="shared" si="37"/>
        <v>0</v>
      </c>
      <c r="BU25" s="48">
        <f t="shared" si="38"/>
        <v>0</v>
      </c>
      <c r="BV25" s="48">
        <f t="shared" si="39"/>
        <v>0</v>
      </c>
      <c r="BW25" s="48">
        <f t="shared" si="40"/>
        <v>0</v>
      </c>
      <c r="BX25" s="48">
        <f t="shared" si="41"/>
        <v>0</v>
      </c>
      <c r="BY25" s="48">
        <f t="shared" si="42"/>
        <v>0</v>
      </c>
      <c r="BZ25" s="48">
        <f t="shared" si="43"/>
        <v>0</v>
      </c>
      <c r="CA25" s="48">
        <f t="shared" si="44"/>
        <v>0</v>
      </c>
      <c r="CB25" s="48">
        <f t="shared" si="45"/>
        <v>0</v>
      </c>
      <c r="CC25" s="48">
        <f t="shared" si="46"/>
        <v>0</v>
      </c>
      <c r="CD25" s="48">
        <f t="shared" si="47"/>
        <v>0</v>
      </c>
      <c r="CE25" s="48">
        <f t="shared" si="48"/>
        <v>0</v>
      </c>
      <c r="CF25" s="48">
        <f t="shared" si="49"/>
        <v>0</v>
      </c>
      <c r="CG25" s="48">
        <f t="shared" si="50"/>
        <v>0</v>
      </c>
      <c r="CH25" s="48">
        <f t="shared" si="51"/>
        <v>0</v>
      </c>
      <c r="CI25" s="48">
        <f t="shared" si="52"/>
        <v>0</v>
      </c>
      <c r="CJ25" s="48">
        <f t="shared" si="53"/>
        <v>0</v>
      </c>
      <c r="CK25" s="48">
        <f t="shared" si="54"/>
        <v>0</v>
      </c>
      <c r="CL25" s="48">
        <f t="shared" si="55"/>
        <v>0</v>
      </c>
      <c r="CM25" s="48">
        <f t="shared" si="56"/>
        <v>0</v>
      </c>
      <c r="CN25" s="48">
        <f t="shared" si="57"/>
        <v>0</v>
      </c>
      <c r="CO25" s="48">
        <f t="shared" si="58"/>
        <v>0</v>
      </c>
      <c r="CP25" s="48">
        <f t="shared" si="59"/>
        <v>0</v>
      </c>
      <c r="CQ25" s="48">
        <f t="shared" si="60"/>
        <v>0</v>
      </c>
      <c r="CR25" s="48">
        <f t="shared" si="61"/>
        <v>0</v>
      </c>
      <c r="CS25" s="48">
        <f t="shared" si="62"/>
        <v>0</v>
      </c>
      <c r="CT25" s="48">
        <f t="shared" si="63"/>
        <v>0</v>
      </c>
      <c r="CU25" s="48">
        <f t="shared" si="64"/>
        <v>0</v>
      </c>
      <c r="CV25" s="48">
        <f t="shared" si="65"/>
        <v>0</v>
      </c>
      <c r="CW25" s="48">
        <f t="shared" si="66"/>
        <v>0</v>
      </c>
      <c r="CX25" s="48">
        <f t="shared" si="67"/>
        <v>0</v>
      </c>
      <c r="CY25" s="48">
        <f t="shared" si="68"/>
        <v>0</v>
      </c>
      <c r="CZ25" s="48">
        <f t="shared" si="69"/>
        <v>0</v>
      </c>
      <c r="DA25" s="48">
        <f t="shared" si="70"/>
        <v>0</v>
      </c>
      <c r="DB25" s="48">
        <f t="shared" si="71"/>
        <v>0</v>
      </c>
      <c r="DC25" s="48">
        <f t="shared" si="72"/>
        <v>0</v>
      </c>
      <c r="DD25" s="48">
        <f t="shared" si="73"/>
        <v>0</v>
      </c>
      <c r="DE25" s="48">
        <f t="shared" si="74"/>
        <v>0</v>
      </c>
      <c r="DF25" s="48">
        <f t="shared" si="75"/>
        <v>0</v>
      </c>
      <c r="DG25" s="48">
        <f t="shared" si="76"/>
        <v>0</v>
      </c>
      <c r="DH25" s="48">
        <f t="shared" si="77"/>
        <v>0</v>
      </c>
      <c r="DI25" s="48">
        <f t="shared" si="78"/>
        <v>0</v>
      </c>
      <c r="DJ25" s="48">
        <f t="shared" si="79"/>
        <v>0</v>
      </c>
      <c r="DK25" s="48">
        <f t="shared" si="80"/>
        <v>0</v>
      </c>
      <c r="DL25" s="48">
        <f t="shared" si="81"/>
        <v>0</v>
      </c>
      <c r="DM25" s="48">
        <f t="shared" si="82"/>
        <v>0</v>
      </c>
      <c r="DN25" s="48">
        <f t="shared" si="83"/>
        <v>0</v>
      </c>
      <c r="DO25" s="48">
        <f t="shared" si="84"/>
        <v>0</v>
      </c>
      <c r="DP25" s="48">
        <f t="shared" si="85"/>
        <v>0</v>
      </c>
      <c r="DQ25" s="48">
        <f t="shared" si="86"/>
        <v>0</v>
      </c>
      <c r="DR25" s="48">
        <f t="shared" si="87"/>
        <v>0</v>
      </c>
      <c r="DS25" s="48">
        <f t="shared" si="88"/>
        <v>0</v>
      </c>
      <c r="DT25" s="48">
        <f t="shared" si="89"/>
        <v>0</v>
      </c>
      <c r="DU25" s="48">
        <f t="shared" si="90"/>
        <v>0</v>
      </c>
      <c r="DV25" s="48">
        <f t="shared" si="91"/>
        <v>0</v>
      </c>
      <c r="DW25" s="48">
        <f t="shared" si="92"/>
        <v>0</v>
      </c>
      <c r="DX25" s="48">
        <f t="shared" si="93"/>
        <v>0</v>
      </c>
      <c r="DY25" s="48">
        <f t="shared" si="94"/>
        <v>0</v>
      </c>
      <c r="DZ25" s="48">
        <f t="shared" si="95"/>
        <v>0</v>
      </c>
      <c r="EA25" s="48">
        <f t="shared" si="96"/>
        <v>0</v>
      </c>
      <c r="EB25" s="48">
        <f t="shared" si="97"/>
        <v>0</v>
      </c>
      <c r="EC25" s="48">
        <f t="shared" si="98"/>
        <v>0</v>
      </c>
      <c r="ED25" s="48">
        <f t="shared" si="99"/>
        <v>0</v>
      </c>
      <c r="EE25" s="48">
        <f t="shared" si="100"/>
        <v>0</v>
      </c>
      <c r="EF25" s="48">
        <f t="shared" si="101"/>
        <v>0</v>
      </c>
      <c r="EG25" s="48">
        <f t="shared" si="102"/>
        <v>0</v>
      </c>
      <c r="EH25" s="48">
        <f t="shared" si="103"/>
        <v>0</v>
      </c>
      <c r="EI25" s="48">
        <f t="shared" si="104"/>
        <v>0</v>
      </c>
      <c r="EJ25" s="48">
        <f t="shared" si="105"/>
        <v>0</v>
      </c>
      <c r="EK25" s="48">
        <f t="shared" si="106"/>
        <v>0</v>
      </c>
      <c r="EL25" s="48">
        <f t="shared" si="107"/>
        <v>0</v>
      </c>
      <c r="EM25" s="48">
        <f t="shared" si="108"/>
        <v>0</v>
      </c>
      <c r="EN25" s="48">
        <f t="shared" si="109"/>
        <v>0</v>
      </c>
      <c r="EO25" s="48">
        <f t="shared" si="110"/>
        <v>0</v>
      </c>
      <c r="EP25" s="48">
        <f t="shared" si="111"/>
        <v>0</v>
      </c>
      <c r="EQ25" s="48">
        <f t="shared" si="112"/>
        <v>0</v>
      </c>
      <c r="ER25" s="48">
        <f t="shared" si="113"/>
        <v>0</v>
      </c>
      <c r="ES25" s="48">
        <f t="shared" si="114"/>
        <v>0</v>
      </c>
      <c r="ET25" s="48">
        <f t="shared" si="115"/>
        <v>0</v>
      </c>
      <c r="EU25" s="48">
        <f t="shared" si="116"/>
        <v>0</v>
      </c>
      <c r="EV25" s="48">
        <f t="shared" si="117"/>
        <v>0</v>
      </c>
      <c r="EW25" s="48">
        <f t="shared" si="118"/>
        <v>0</v>
      </c>
      <c r="EX25" s="48">
        <f t="shared" si="119"/>
        <v>0</v>
      </c>
      <c r="EY25" s="48">
        <f t="shared" si="120"/>
        <v>0</v>
      </c>
      <c r="EZ25" s="48">
        <f t="shared" si="121"/>
        <v>0</v>
      </c>
      <c r="FA25" s="48">
        <f t="shared" si="122"/>
        <v>0</v>
      </c>
      <c r="FB25" s="48">
        <f t="shared" si="123"/>
        <v>0</v>
      </c>
      <c r="FC25" s="48">
        <f t="shared" si="124"/>
        <v>0</v>
      </c>
      <c r="FD25" s="48">
        <f t="shared" si="125"/>
        <v>0</v>
      </c>
      <c r="FE25" s="48">
        <f t="shared" si="126"/>
        <v>0</v>
      </c>
      <c r="FF25" s="48">
        <f t="shared" si="127"/>
        <v>0</v>
      </c>
      <c r="FG25" s="48">
        <f t="shared" si="128"/>
        <v>0</v>
      </c>
      <c r="FH25" s="48">
        <f t="shared" si="129"/>
        <v>0</v>
      </c>
      <c r="FI25" s="48">
        <f t="shared" si="130"/>
        <v>0</v>
      </c>
      <c r="FJ25" s="48">
        <f t="shared" si="131"/>
        <v>0</v>
      </c>
      <c r="FK25" s="48">
        <f t="shared" si="132"/>
        <v>0</v>
      </c>
      <c r="FL25" s="48">
        <f t="shared" si="133"/>
        <v>0</v>
      </c>
      <c r="FM25" s="48">
        <f t="shared" si="134"/>
        <v>0</v>
      </c>
      <c r="FN25" s="48">
        <f t="shared" si="135"/>
        <v>0</v>
      </c>
      <c r="FO25" s="48">
        <f t="shared" si="136"/>
        <v>0</v>
      </c>
      <c r="FP25" s="48">
        <f t="shared" si="137"/>
        <v>0</v>
      </c>
      <c r="FQ25" s="48">
        <f t="shared" si="138"/>
        <v>0</v>
      </c>
      <c r="FR25" s="48">
        <f t="shared" si="139"/>
        <v>0</v>
      </c>
      <c r="FS25" s="48">
        <f t="shared" si="140"/>
        <v>0</v>
      </c>
      <c r="FT25" s="48">
        <f t="shared" si="141"/>
        <v>0</v>
      </c>
      <c r="FU25" s="48">
        <f t="shared" si="142"/>
        <v>0</v>
      </c>
      <c r="FV25" s="48">
        <f t="shared" si="143"/>
        <v>0</v>
      </c>
      <c r="FW25" s="48">
        <f t="shared" si="144"/>
        <v>0</v>
      </c>
      <c r="FX25" s="48">
        <f t="shared" si="145"/>
        <v>0</v>
      </c>
      <c r="FY25" s="48">
        <f t="shared" si="146"/>
        <v>0</v>
      </c>
      <c r="FZ25" s="48">
        <f t="shared" si="147"/>
        <v>0</v>
      </c>
      <c r="GA25" s="48">
        <f t="shared" si="148"/>
        <v>0</v>
      </c>
      <c r="GB25" s="48">
        <f t="shared" si="149"/>
        <v>0</v>
      </c>
      <c r="GC25" s="48">
        <f t="shared" si="150"/>
        <v>0</v>
      </c>
      <c r="GG25">
        <f t="shared" si="151"/>
        <v>0</v>
      </c>
    </row>
    <row r="26" spans="1:189" x14ac:dyDescent="0.25">
      <c r="A26" s="690"/>
      <c r="B26" s="690"/>
      <c r="C26" s="690"/>
      <c r="D26" s="690"/>
      <c r="E26" s="690"/>
      <c r="F26" s="690"/>
      <c r="G26" s="889"/>
      <c r="H26" s="690"/>
      <c r="I26" s="690"/>
      <c r="J26" s="690"/>
      <c r="K26" s="690"/>
      <c r="L26" s="690"/>
      <c r="M26" s="690"/>
      <c r="N26" s="507" t="str">
        <f t="shared" si="159"/>
        <v/>
      </c>
      <c r="O26" s="690"/>
      <c r="P26" s="507" t="str">
        <f t="shared" si="158"/>
        <v/>
      </c>
      <c r="Q26" s="690"/>
      <c r="R26" s="690"/>
      <c r="S26" s="690"/>
      <c r="T26" s="690"/>
      <c r="U26">
        <f t="shared" si="152"/>
        <v>0</v>
      </c>
      <c r="V26">
        <f t="shared" si="153"/>
        <v>0</v>
      </c>
      <c r="X26">
        <f t="shared" si="154"/>
        <v>0</v>
      </c>
      <c r="Y26">
        <f t="shared" si="155"/>
        <v>0</v>
      </c>
      <c r="Z26">
        <f t="shared" si="156"/>
        <v>0</v>
      </c>
      <c r="AA26">
        <f t="shared" si="157"/>
        <v>0</v>
      </c>
      <c r="AB26" s="25"/>
      <c r="AC26" s="25"/>
      <c r="AD26" s="25"/>
      <c r="AF26" s="48" t="s">
        <v>681</v>
      </c>
      <c r="AG26" s="689"/>
      <c r="AH26" s="689"/>
      <c r="AI26" s="48">
        <f t="shared" si="0"/>
        <v>0</v>
      </c>
      <c r="AJ26" s="48">
        <f t="shared" si="1"/>
        <v>0</v>
      </c>
      <c r="AK26" s="48">
        <f t="shared" si="2"/>
        <v>0</v>
      </c>
      <c r="AL26" s="48">
        <f t="shared" si="3"/>
        <v>0</v>
      </c>
      <c r="AM26" s="48">
        <f t="shared" si="4"/>
        <v>0</v>
      </c>
      <c r="AN26" s="48">
        <f t="shared" si="5"/>
        <v>0</v>
      </c>
      <c r="AO26" s="48">
        <f t="shared" si="6"/>
        <v>0</v>
      </c>
      <c r="AP26" s="48">
        <f t="shared" si="7"/>
        <v>0</v>
      </c>
      <c r="AQ26" s="48">
        <f t="shared" si="8"/>
        <v>0</v>
      </c>
      <c r="AR26" s="48">
        <f t="shared" si="9"/>
        <v>0</v>
      </c>
      <c r="AS26" s="48">
        <f t="shared" si="10"/>
        <v>0</v>
      </c>
      <c r="AT26" s="48">
        <f t="shared" si="11"/>
        <v>0</v>
      </c>
      <c r="AU26" s="48">
        <f t="shared" si="12"/>
        <v>0</v>
      </c>
      <c r="AV26" s="48">
        <f t="shared" si="13"/>
        <v>0</v>
      </c>
      <c r="AW26" s="48">
        <f t="shared" si="14"/>
        <v>0</v>
      </c>
      <c r="AX26" s="48">
        <f t="shared" si="15"/>
        <v>0</v>
      </c>
      <c r="AY26" s="48">
        <f t="shared" si="16"/>
        <v>0</v>
      </c>
      <c r="AZ26" s="48">
        <f t="shared" si="17"/>
        <v>0</v>
      </c>
      <c r="BA26" s="48">
        <f t="shared" si="18"/>
        <v>0</v>
      </c>
      <c r="BB26" s="48">
        <f t="shared" si="19"/>
        <v>0</v>
      </c>
      <c r="BC26" s="48">
        <f t="shared" si="20"/>
        <v>0</v>
      </c>
      <c r="BD26" s="48">
        <f t="shared" si="21"/>
        <v>0</v>
      </c>
      <c r="BE26" s="48">
        <f t="shared" si="22"/>
        <v>0</v>
      </c>
      <c r="BF26" s="48">
        <f t="shared" si="23"/>
        <v>0</v>
      </c>
      <c r="BG26" s="48">
        <f t="shared" si="24"/>
        <v>0</v>
      </c>
      <c r="BH26" s="48">
        <f t="shared" si="25"/>
        <v>0</v>
      </c>
      <c r="BI26" s="48">
        <f t="shared" si="26"/>
        <v>0</v>
      </c>
      <c r="BJ26" s="48">
        <f t="shared" si="27"/>
        <v>0</v>
      </c>
      <c r="BK26" s="48">
        <f t="shared" si="28"/>
        <v>0</v>
      </c>
      <c r="BL26" s="48">
        <f t="shared" si="29"/>
        <v>0</v>
      </c>
      <c r="BM26" s="48">
        <f t="shared" si="30"/>
        <v>0</v>
      </c>
      <c r="BN26" s="48">
        <f t="shared" si="31"/>
        <v>0</v>
      </c>
      <c r="BO26" s="48">
        <f t="shared" si="32"/>
        <v>0</v>
      </c>
      <c r="BP26" s="48">
        <f t="shared" si="33"/>
        <v>0</v>
      </c>
      <c r="BQ26" s="48">
        <f t="shared" si="34"/>
        <v>0</v>
      </c>
      <c r="BR26" s="48">
        <f t="shared" si="35"/>
        <v>0</v>
      </c>
      <c r="BS26" s="48">
        <f t="shared" si="36"/>
        <v>0</v>
      </c>
      <c r="BT26" s="48">
        <f t="shared" si="37"/>
        <v>0</v>
      </c>
      <c r="BU26" s="48">
        <f t="shared" si="38"/>
        <v>0</v>
      </c>
      <c r="BV26" s="48">
        <f t="shared" si="39"/>
        <v>0</v>
      </c>
      <c r="BW26" s="48">
        <f t="shared" si="40"/>
        <v>0</v>
      </c>
      <c r="BX26" s="48">
        <f t="shared" si="41"/>
        <v>0</v>
      </c>
      <c r="BY26" s="48">
        <f t="shared" si="42"/>
        <v>0</v>
      </c>
      <c r="BZ26" s="48">
        <f t="shared" si="43"/>
        <v>0</v>
      </c>
      <c r="CA26" s="48">
        <f t="shared" si="44"/>
        <v>0</v>
      </c>
      <c r="CB26" s="48">
        <f t="shared" si="45"/>
        <v>0</v>
      </c>
      <c r="CC26" s="48">
        <f t="shared" si="46"/>
        <v>0</v>
      </c>
      <c r="CD26" s="48">
        <f t="shared" si="47"/>
        <v>0</v>
      </c>
      <c r="CE26" s="48">
        <f t="shared" si="48"/>
        <v>0</v>
      </c>
      <c r="CF26" s="48">
        <f t="shared" si="49"/>
        <v>0</v>
      </c>
      <c r="CG26" s="48">
        <f t="shared" si="50"/>
        <v>0</v>
      </c>
      <c r="CH26" s="48">
        <f t="shared" si="51"/>
        <v>0</v>
      </c>
      <c r="CI26" s="48">
        <f t="shared" si="52"/>
        <v>0</v>
      </c>
      <c r="CJ26" s="48">
        <f t="shared" si="53"/>
        <v>0</v>
      </c>
      <c r="CK26" s="48">
        <f t="shared" si="54"/>
        <v>0</v>
      </c>
      <c r="CL26" s="48">
        <f t="shared" si="55"/>
        <v>0</v>
      </c>
      <c r="CM26" s="48">
        <f t="shared" si="56"/>
        <v>0</v>
      </c>
      <c r="CN26" s="48">
        <f t="shared" si="57"/>
        <v>0</v>
      </c>
      <c r="CO26" s="48">
        <f t="shared" si="58"/>
        <v>0</v>
      </c>
      <c r="CP26" s="48">
        <f t="shared" si="59"/>
        <v>0</v>
      </c>
      <c r="CQ26" s="48">
        <f t="shared" si="60"/>
        <v>0</v>
      </c>
      <c r="CR26" s="48">
        <f t="shared" si="61"/>
        <v>0</v>
      </c>
      <c r="CS26" s="48">
        <f t="shared" si="62"/>
        <v>0</v>
      </c>
      <c r="CT26" s="48">
        <f t="shared" si="63"/>
        <v>0</v>
      </c>
      <c r="CU26" s="48">
        <f t="shared" si="64"/>
        <v>0</v>
      </c>
      <c r="CV26" s="48">
        <f t="shared" si="65"/>
        <v>0</v>
      </c>
      <c r="CW26" s="48">
        <f t="shared" si="66"/>
        <v>0</v>
      </c>
      <c r="CX26" s="48">
        <f t="shared" si="67"/>
        <v>0</v>
      </c>
      <c r="CY26" s="48">
        <f t="shared" si="68"/>
        <v>0</v>
      </c>
      <c r="CZ26" s="48">
        <f t="shared" si="69"/>
        <v>0</v>
      </c>
      <c r="DA26" s="48">
        <f t="shared" si="70"/>
        <v>0</v>
      </c>
      <c r="DB26" s="48">
        <f t="shared" si="71"/>
        <v>0</v>
      </c>
      <c r="DC26" s="48">
        <f t="shared" si="72"/>
        <v>0</v>
      </c>
      <c r="DD26" s="48">
        <f t="shared" si="73"/>
        <v>0</v>
      </c>
      <c r="DE26" s="48">
        <f t="shared" si="74"/>
        <v>0</v>
      </c>
      <c r="DF26" s="48">
        <f t="shared" si="75"/>
        <v>0</v>
      </c>
      <c r="DG26" s="48">
        <f t="shared" si="76"/>
        <v>0</v>
      </c>
      <c r="DH26" s="48">
        <f t="shared" si="77"/>
        <v>0</v>
      </c>
      <c r="DI26" s="48">
        <f t="shared" si="78"/>
        <v>0</v>
      </c>
      <c r="DJ26" s="48">
        <f t="shared" si="79"/>
        <v>0</v>
      </c>
      <c r="DK26" s="48">
        <f t="shared" si="80"/>
        <v>0</v>
      </c>
      <c r="DL26" s="48">
        <f t="shared" si="81"/>
        <v>0</v>
      </c>
      <c r="DM26" s="48">
        <f t="shared" si="82"/>
        <v>0</v>
      </c>
      <c r="DN26" s="48">
        <f t="shared" si="83"/>
        <v>0</v>
      </c>
      <c r="DO26" s="48">
        <f t="shared" si="84"/>
        <v>0</v>
      </c>
      <c r="DP26" s="48">
        <f t="shared" si="85"/>
        <v>0</v>
      </c>
      <c r="DQ26" s="48">
        <f t="shared" si="86"/>
        <v>0</v>
      </c>
      <c r="DR26" s="48">
        <f t="shared" si="87"/>
        <v>0</v>
      </c>
      <c r="DS26" s="48">
        <f t="shared" si="88"/>
        <v>0</v>
      </c>
      <c r="DT26" s="48">
        <f t="shared" si="89"/>
        <v>0</v>
      </c>
      <c r="DU26" s="48">
        <f t="shared" si="90"/>
        <v>0</v>
      </c>
      <c r="DV26" s="48">
        <f t="shared" si="91"/>
        <v>0</v>
      </c>
      <c r="DW26" s="48">
        <f t="shared" si="92"/>
        <v>0</v>
      </c>
      <c r="DX26" s="48">
        <f t="shared" si="93"/>
        <v>0</v>
      </c>
      <c r="DY26" s="48">
        <f t="shared" si="94"/>
        <v>0</v>
      </c>
      <c r="DZ26" s="48">
        <f t="shared" si="95"/>
        <v>0</v>
      </c>
      <c r="EA26" s="48">
        <f t="shared" si="96"/>
        <v>0</v>
      </c>
      <c r="EB26" s="48">
        <f t="shared" si="97"/>
        <v>0</v>
      </c>
      <c r="EC26" s="48">
        <f t="shared" si="98"/>
        <v>0</v>
      </c>
      <c r="ED26" s="48">
        <f t="shared" si="99"/>
        <v>0</v>
      </c>
      <c r="EE26" s="48">
        <f t="shared" si="100"/>
        <v>0</v>
      </c>
      <c r="EF26" s="48">
        <f t="shared" si="101"/>
        <v>0</v>
      </c>
      <c r="EG26" s="48">
        <f t="shared" si="102"/>
        <v>0</v>
      </c>
      <c r="EH26" s="48">
        <f t="shared" si="103"/>
        <v>0</v>
      </c>
      <c r="EI26" s="48">
        <f t="shared" si="104"/>
        <v>0</v>
      </c>
      <c r="EJ26" s="48">
        <f t="shared" si="105"/>
        <v>0</v>
      </c>
      <c r="EK26" s="48">
        <f t="shared" si="106"/>
        <v>0</v>
      </c>
      <c r="EL26" s="48">
        <f t="shared" si="107"/>
        <v>0</v>
      </c>
      <c r="EM26" s="48">
        <f t="shared" si="108"/>
        <v>0</v>
      </c>
      <c r="EN26" s="48">
        <f t="shared" si="109"/>
        <v>0</v>
      </c>
      <c r="EO26" s="48">
        <f t="shared" si="110"/>
        <v>0</v>
      </c>
      <c r="EP26" s="48">
        <f t="shared" si="111"/>
        <v>0</v>
      </c>
      <c r="EQ26" s="48">
        <f t="shared" si="112"/>
        <v>0</v>
      </c>
      <c r="ER26" s="48">
        <f t="shared" si="113"/>
        <v>0</v>
      </c>
      <c r="ES26" s="48">
        <f t="shared" si="114"/>
        <v>0</v>
      </c>
      <c r="ET26" s="48">
        <f t="shared" si="115"/>
        <v>0</v>
      </c>
      <c r="EU26" s="48">
        <f t="shared" si="116"/>
        <v>0</v>
      </c>
      <c r="EV26" s="48">
        <f t="shared" si="117"/>
        <v>0</v>
      </c>
      <c r="EW26" s="48">
        <f t="shared" si="118"/>
        <v>0</v>
      </c>
      <c r="EX26" s="48">
        <f t="shared" si="119"/>
        <v>0</v>
      </c>
      <c r="EY26" s="48">
        <f t="shared" si="120"/>
        <v>0</v>
      </c>
      <c r="EZ26" s="48">
        <f t="shared" si="121"/>
        <v>0</v>
      </c>
      <c r="FA26" s="48">
        <f t="shared" si="122"/>
        <v>0</v>
      </c>
      <c r="FB26" s="48">
        <f t="shared" si="123"/>
        <v>0</v>
      </c>
      <c r="FC26" s="48">
        <f t="shared" si="124"/>
        <v>0</v>
      </c>
      <c r="FD26" s="48">
        <f t="shared" si="125"/>
        <v>0</v>
      </c>
      <c r="FE26" s="48">
        <f t="shared" si="126"/>
        <v>0</v>
      </c>
      <c r="FF26" s="48">
        <f t="shared" si="127"/>
        <v>0</v>
      </c>
      <c r="FG26" s="48">
        <f t="shared" si="128"/>
        <v>0</v>
      </c>
      <c r="FH26" s="48">
        <f t="shared" si="129"/>
        <v>0</v>
      </c>
      <c r="FI26" s="48">
        <f t="shared" si="130"/>
        <v>0</v>
      </c>
      <c r="FJ26" s="48">
        <f t="shared" si="131"/>
        <v>0</v>
      </c>
      <c r="FK26" s="48">
        <f t="shared" si="132"/>
        <v>0</v>
      </c>
      <c r="FL26" s="48">
        <f t="shared" si="133"/>
        <v>0</v>
      </c>
      <c r="FM26" s="48">
        <f t="shared" si="134"/>
        <v>0</v>
      </c>
      <c r="FN26" s="48">
        <f t="shared" si="135"/>
        <v>0</v>
      </c>
      <c r="FO26" s="48">
        <f t="shared" si="136"/>
        <v>0</v>
      </c>
      <c r="FP26" s="48">
        <f t="shared" si="137"/>
        <v>0</v>
      </c>
      <c r="FQ26" s="48">
        <f t="shared" si="138"/>
        <v>0</v>
      </c>
      <c r="FR26" s="48">
        <f t="shared" si="139"/>
        <v>0</v>
      </c>
      <c r="FS26" s="48">
        <f t="shared" si="140"/>
        <v>0</v>
      </c>
      <c r="FT26" s="48">
        <f t="shared" si="141"/>
        <v>0</v>
      </c>
      <c r="FU26" s="48">
        <f t="shared" si="142"/>
        <v>0</v>
      </c>
      <c r="FV26" s="48">
        <f t="shared" si="143"/>
        <v>0</v>
      </c>
      <c r="FW26" s="48">
        <f t="shared" si="144"/>
        <v>0</v>
      </c>
      <c r="FX26" s="48">
        <f t="shared" si="145"/>
        <v>0</v>
      </c>
      <c r="FY26" s="48">
        <f t="shared" si="146"/>
        <v>0</v>
      </c>
      <c r="FZ26" s="48">
        <f t="shared" si="147"/>
        <v>0</v>
      </c>
      <c r="GA26" s="48">
        <f t="shared" si="148"/>
        <v>0</v>
      </c>
      <c r="GB26" s="48">
        <f t="shared" si="149"/>
        <v>0</v>
      </c>
      <c r="GC26" s="48">
        <f t="shared" si="150"/>
        <v>0</v>
      </c>
      <c r="GG26">
        <f t="shared" si="151"/>
        <v>0</v>
      </c>
    </row>
    <row r="27" spans="1:189" x14ac:dyDescent="0.25">
      <c r="A27" s="690"/>
      <c r="B27" s="690"/>
      <c r="C27" s="690"/>
      <c r="D27" s="690"/>
      <c r="E27" s="690"/>
      <c r="F27" s="690"/>
      <c r="G27" s="889"/>
      <c r="H27" s="690"/>
      <c r="I27" s="690"/>
      <c r="J27" s="690"/>
      <c r="K27" s="690"/>
      <c r="L27" s="690"/>
      <c r="M27" s="690"/>
      <c r="N27" s="507" t="str">
        <f t="shared" si="159"/>
        <v/>
      </c>
      <c r="O27" s="690"/>
      <c r="P27" s="507" t="str">
        <f t="shared" si="158"/>
        <v/>
      </c>
      <c r="Q27" s="690"/>
      <c r="R27" s="690"/>
      <c r="S27" s="690"/>
      <c r="T27" s="690"/>
      <c r="U27">
        <f t="shared" si="152"/>
        <v>0</v>
      </c>
      <c r="V27">
        <f t="shared" si="153"/>
        <v>0</v>
      </c>
      <c r="X27">
        <f t="shared" si="154"/>
        <v>0</v>
      </c>
      <c r="Y27">
        <f t="shared" si="155"/>
        <v>0</v>
      </c>
      <c r="Z27">
        <f t="shared" si="156"/>
        <v>0</v>
      </c>
      <c r="AA27">
        <f t="shared" si="157"/>
        <v>0</v>
      </c>
      <c r="AB27" s="25"/>
      <c r="AC27" s="25"/>
      <c r="AD27" s="25"/>
      <c r="AF27" s="48" t="s">
        <v>682</v>
      </c>
      <c r="AG27" s="689"/>
      <c r="AH27" s="689"/>
      <c r="AI27" s="48">
        <f t="shared" si="0"/>
        <v>0</v>
      </c>
      <c r="AJ27" s="48">
        <f t="shared" si="1"/>
        <v>0</v>
      </c>
      <c r="AK27" s="48">
        <f t="shared" si="2"/>
        <v>0</v>
      </c>
      <c r="AL27" s="48">
        <f t="shared" si="3"/>
        <v>0</v>
      </c>
      <c r="AM27" s="48">
        <f t="shared" si="4"/>
        <v>0</v>
      </c>
      <c r="AN27" s="48">
        <f t="shared" si="5"/>
        <v>0</v>
      </c>
      <c r="AO27" s="48">
        <f t="shared" si="6"/>
        <v>0</v>
      </c>
      <c r="AP27" s="48">
        <f t="shared" si="7"/>
        <v>0</v>
      </c>
      <c r="AQ27" s="48">
        <f t="shared" si="8"/>
        <v>0</v>
      </c>
      <c r="AR27" s="48">
        <f t="shared" si="9"/>
        <v>0</v>
      </c>
      <c r="AS27" s="48">
        <f t="shared" si="10"/>
        <v>0</v>
      </c>
      <c r="AT27" s="48">
        <f t="shared" si="11"/>
        <v>0</v>
      </c>
      <c r="AU27" s="48">
        <f t="shared" si="12"/>
        <v>0</v>
      </c>
      <c r="AV27" s="48">
        <f t="shared" si="13"/>
        <v>0</v>
      </c>
      <c r="AW27" s="48">
        <f t="shared" si="14"/>
        <v>0</v>
      </c>
      <c r="AX27" s="48">
        <f t="shared" si="15"/>
        <v>0</v>
      </c>
      <c r="AY27" s="48">
        <f t="shared" si="16"/>
        <v>0</v>
      </c>
      <c r="AZ27" s="48">
        <f t="shared" si="17"/>
        <v>0</v>
      </c>
      <c r="BA27" s="48">
        <f t="shared" si="18"/>
        <v>0</v>
      </c>
      <c r="BB27" s="48">
        <f t="shared" si="19"/>
        <v>0</v>
      </c>
      <c r="BC27" s="48">
        <f t="shared" si="20"/>
        <v>0</v>
      </c>
      <c r="BD27" s="48">
        <f t="shared" si="21"/>
        <v>0</v>
      </c>
      <c r="BE27" s="48">
        <f t="shared" si="22"/>
        <v>0</v>
      </c>
      <c r="BF27" s="48">
        <f t="shared" si="23"/>
        <v>0</v>
      </c>
      <c r="BG27" s="48">
        <f t="shared" si="24"/>
        <v>0</v>
      </c>
      <c r="BH27" s="48">
        <f t="shared" si="25"/>
        <v>0</v>
      </c>
      <c r="BI27" s="48">
        <f t="shared" si="26"/>
        <v>0</v>
      </c>
      <c r="BJ27" s="48">
        <f t="shared" si="27"/>
        <v>0</v>
      </c>
      <c r="BK27" s="48">
        <f t="shared" si="28"/>
        <v>0</v>
      </c>
      <c r="BL27" s="48">
        <f t="shared" si="29"/>
        <v>0</v>
      </c>
      <c r="BM27" s="48">
        <f t="shared" si="30"/>
        <v>0</v>
      </c>
      <c r="BN27" s="48">
        <f t="shared" si="31"/>
        <v>0</v>
      </c>
      <c r="BO27" s="48">
        <f t="shared" si="32"/>
        <v>0</v>
      </c>
      <c r="BP27" s="48">
        <f t="shared" si="33"/>
        <v>0</v>
      </c>
      <c r="BQ27" s="48">
        <f t="shared" si="34"/>
        <v>0</v>
      </c>
      <c r="BR27" s="48">
        <f t="shared" si="35"/>
        <v>0</v>
      </c>
      <c r="BS27" s="48">
        <f t="shared" si="36"/>
        <v>0</v>
      </c>
      <c r="BT27" s="48">
        <f t="shared" si="37"/>
        <v>0</v>
      </c>
      <c r="BU27" s="48">
        <f t="shared" si="38"/>
        <v>0</v>
      </c>
      <c r="BV27" s="48">
        <f t="shared" si="39"/>
        <v>0</v>
      </c>
      <c r="BW27" s="48">
        <f t="shared" si="40"/>
        <v>0</v>
      </c>
      <c r="BX27" s="48">
        <f t="shared" si="41"/>
        <v>0</v>
      </c>
      <c r="BY27" s="48">
        <f t="shared" si="42"/>
        <v>0</v>
      </c>
      <c r="BZ27" s="48">
        <f t="shared" si="43"/>
        <v>0</v>
      </c>
      <c r="CA27" s="48">
        <f t="shared" si="44"/>
        <v>0</v>
      </c>
      <c r="CB27" s="48">
        <f t="shared" si="45"/>
        <v>0</v>
      </c>
      <c r="CC27" s="48">
        <f t="shared" si="46"/>
        <v>0</v>
      </c>
      <c r="CD27" s="48">
        <f t="shared" si="47"/>
        <v>0</v>
      </c>
      <c r="CE27" s="48">
        <f t="shared" si="48"/>
        <v>0</v>
      </c>
      <c r="CF27" s="48">
        <f t="shared" si="49"/>
        <v>0</v>
      </c>
      <c r="CG27" s="48">
        <f t="shared" si="50"/>
        <v>0</v>
      </c>
      <c r="CH27" s="48">
        <f t="shared" si="51"/>
        <v>0</v>
      </c>
      <c r="CI27" s="48">
        <f t="shared" si="52"/>
        <v>0</v>
      </c>
      <c r="CJ27" s="48">
        <f t="shared" si="53"/>
        <v>0</v>
      </c>
      <c r="CK27" s="48">
        <f t="shared" si="54"/>
        <v>0</v>
      </c>
      <c r="CL27" s="48">
        <f t="shared" si="55"/>
        <v>0</v>
      </c>
      <c r="CM27" s="48">
        <f t="shared" si="56"/>
        <v>0</v>
      </c>
      <c r="CN27" s="48">
        <f t="shared" si="57"/>
        <v>0</v>
      </c>
      <c r="CO27" s="48">
        <f t="shared" si="58"/>
        <v>0</v>
      </c>
      <c r="CP27" s="48">
        <f t="shared" si="59"/>
        <v>0</v>
      </c>
      <c r="CQ27" s="48">
        <f t="shared" si="60"/>
        <v>0</v>
      </c>
      <c r="CR27" s="48">
        <f t="shared" si="61"/>
        <v>0</v>
      </c>
      <c r="CS27" s="48">
        <f t="shared" si="62"/>
        <v>0</v>
      </c>
      <c r="CT27" s="48">
        <f t="shared" si="63"/>
        <v>0</v>
      </c>
      <c r="CU27" s="48">
        <f t="shared" si="64"/>
        <v>0</v>
      </c>
      <c r="CV27" s="48">
        <f t="shared" si="65"/>
        <v>0</v>
      </c>
      <c r="CW27" s="48">
        <f t="shared" si="66"/>
        <v>0</v>
      </c>
      <c r="CX27" s="48">
        <f t="shared" si="67"/>
        <v>0</v>
      </c>
      <c r="CY27" s="48">
        <f t="shared" si="68"/>
        <v>0</v>
      </c>
      <c r="CZ27" s="48">
        <f t="shared" si="69"/>
        <v>0</v>
      </c>
      <c r="DA27" s="48">
        <f t="shared" si="70"/>
        <v>0</v>
      </c>
      <c r="DB27" s="48">
        <f t="shared" si="71"/>
        <v>0</v>
      </c>
      <c r="DC27" s="48">
        <f t="shared" si="72"/>
        <v>0</v>
      </c>
      <c r="DD27" s="48">
        <f t="shared" si="73"/>
        <v>0</v>
      </c>
      <c r="DE27" s="48">
        <f t="shared" si="74"/>
        <v>0</v>
      </c>
      <c r="DF27" s="48">
        <f t="shared" si="75"/>
        <v>0</v>
      </c>
      <c r="DG27" s="48">
        <f t="shared" si="76"/>
        <v>0</v>
      </c>
      <c r="DH27" s="48">
        <f t="shared" si="77"/>
        <v>0</v>
      </c>
      <c r="DI27" s="48">
        <f t="shared" si="78"/>
        <v>0</v>
      </c>
      <c r="DJ27" s="48">
        <f t="shared" si="79"/>
        <v>0</v>
      </c>
      <c r="DK27" s="48">
        <f t="shared" si="80"/>
        <v>0</v>
      </c>
      <c r="DL27" s="48">
        <f t="shared" si="81"/>
        <v>0</v>
      </c>
      <c r="DM27" s="48">
        <f t="shared" si="82"/>
        <v>0</v>
      </c>
      <c r="DN27" s="48">
        <f t="shared" si="83"/>
        <v>0</v>
      </c>
      <c r="DO27" s="48">
        <f t="shared" si="84"/>
        <v>0</v>
      </c>
      <c r="DP27" s="48">
        <f t="shared" si="85"/>
        <v>0</v>
      </c>
      <c r="DQ27" s="48">
        <f t="shared" si="86"/>
        <v>0</v>
      </c>
      <c r="DR27" s="48">
        <f t="shared" si="87"/>
        <v>0</v>
      </c>
      <c r="DS27" s="48">
        <f t="shared" si="88"/>
        <v>0</v>
      </c>
      <c r="DT27" s="48">
        <f t="shared" si="89"/>
        <v>0</v>
      </c>
      <c r="DU27" s="48">
        <f t="shared" si="90"/>
        <v>0</v>
      </c>
      <c r="DV27" s="48">
        <f t="shared" si="91"/>
        <v>0</v>
      </c>
      <c r="DW27" s="48">
        <f t="shared" si="92"/>
        <v>0</v>
      </c>
      <c r="DX27" s="48">
        <f t="shared" si="93"/>
        <v>0</v>
      </c>
      <c r="DY27" s="48">
        <f t="shared" si="94"/>
        <v>0</v>
      </c>
      <c r="DZ27" s="48">
        <f t="shared" si="95"/>
        <v>0</v>
      </c>
      <c r="EA27" s="48">
        <f t="shared" si="96"/>
        <v>0</v>
      </c>
      <c r="EB27" s="48">
        <f t="shared" si="97"/>
        <v>0</v>
      </c>
      <c r="EC27" s="48">
        <f t="shared" si="98"/>
        <v>0</v>
      </c>
      <c r="ED27" s="48">
        <f t="shared" si="99"/>
        <v>0</v>
      </c>
      <c r="EE27" s="48">
        <f t="shared" si="100"/>
        <v>0</v>
      </c>
      <c r="EF27" s="48">
        <f t="shared" si="101"/>
        <v>0</v>
      </c>
      <c r="EG27" s="48">
        <f t="shared" si="102"/>
        <v>0</v>
      </c>
      <c r="EH27" s="48">
        <f t="shared" si="103"/>
        <v>0</v>
      </c>
      <c r="EI27" s="48">
        <f t="shared" si="104"/>
        <v>0</v>
      </c>
      <c r="EJ27" s="48">
        <f t="shared" si="105"/>
        <v>0</v>
      </c>
      <c r="EK27" s="48">
        <f t="shared" si="106"/>
        <v>0</v>
      </c>
      <c r="EL27" s="48">
        <f t="shared" si="107"/>
        <v>0</v>
      </c>
      <c r="EM27" s="48">
        <f t="shared" si="108"/>
        <v>0</v>
      </c>
      <c r="EN27" s="48">
        <f t="shared" si="109"/>
        <v>0</v>
      </c>
      <c r="EO27" s="48">
        <f t="shared" si="110"/>
        <v>0</v>
      </c>
      <c r="EP27" s="48">
        <f t="shared" si="111"/>
        <v>0</v>
      </c>
      <c r="EQ27" s="48">
        <f t="shared" si="112"/>
        <v>0</v>
      </c>
      <c r="ER27" s="48">
        <f t="shared" si="113"/>
        <v>0</v>
      </c>
      <c r="ES27" s="48">
        <f t="shared" si="114"/>
        <v>0</v>
      </c>
      <c r="ET27" s="48">
        <f t="shared" si="115"/>
        <v>0</v>
      </c>
      <c r="EU27" s="48">
        <f t="shared" si="116"/>
        <v>0</v>
      </c>
      <c r="EV27" s="48">
        <f t="shared" si="117"/>
        <v>0</v>
      </c>
      <c r="EW27" s="48">
        <f t="shared" si="118"/>
        <v>0</v>
      </c>
      <c r="EX27" s="48">
        <f t="shared" si="119"/>
        <v>0</v>
      </c>
      <c r="EY27" s="48">
        <f t="shared" si="120"/>
        <v>0</v>
      </c>
      <c r="EZ27" s="48">
        <f t="shared" si="121"/>
        <v>0</v>
      </c>
      <c r="FA27" s="48">
        <f t="shared" si="122"/>
        <v>0</v>
      </c>
      <c r="FB27" s="48">
        <f t="shared" si="123"/>
        <v>0</v>
      </c>
      <c r="FC27" s="48">
        <f t="shared" si="124"/>
        <v>0</v>
      </c>
      <c r="FD27" s="48">
        <f t="shared" si="125"/>
        <v>0</v>
      </c>
      <c r="FE27" s="48">
        <f t="shared" si="126"/>
        <v>0</v>
      </c>
      <c r="FF27" s="48">
        <f t="shared" si="127"/>
        <v>0</v>
      </c>
      <c r="FG27" s="48">
        <f t="shared" si="128"/>
        <v>0</v>
      </c>
      <c r="FH27" s="48">
        <f t="shared" si="129"/>
        <v>0</v>
      </c>
      <c r="FI27" s="48">
        <f t="shared" si="130"/>
        <v>0</v>
      </c>
      <c r="FJ27" s="48">
        <f t="shared" si="131"/>
        <v>0</v>
      </c>
      <c r="FK27" s="48">
        <f t="shared" si="132"/>
        <v>0</v>
      </c>
      <c r="FL27" s="48">
        <f t="shared" si="133"/>
        <v>0</v>
      </c>
      <c r="FM27" s="48">
        <f t="shared" si="134"/>
        <v>0</v>
      </c>
      <c r="FN27" s="48">
        <f t="shared" si="135"/>
        <v>0</v>
      </c>
      <c r="FO27" s="48">
        <f t="shared" si="136"/>
        <v>0</v>
      </c>
      <c r="FP27" s="48">
        <f t="shared" si="137"/>
        <v>0</v>
      </c>
      <c r="FQ27" s="48">
        <f t="shared" si="138"/>
        <v>0</v>
      </c>
      <c r="FR27" s="48">
        <f t="shared" si="139"/>
        <v>0</v>
      </c>
      <c r="FS27" s="48">
        <f t="shared" si="140"/>
        <v>0</v>
      </c>
      <c r="FT27" s="48">
        <f t="shared" si="141"/>
        <v>0</v>
      </c>
      <c r="FU27" s="48">
        <f t="shared" si="142"/>
        <v>0</v>
      </c>
      <c r="FV27" s="48">
        <f t="shared" si="143"/>
        <v>0</v>
      </c>
      <c r="FW27" s="48">
        <f t="shared" si="144"/>
        <v>0</v>
      </c>
      <c r="FX27" s="48">
        <f t="shared" si="145"/>
        <v>0</v>
      </c>
      <c r="FY27" s="48">
        <f t="shared" si="146"/>
        <v>0</v>
      </c>
      <c r="FZ27" s="48">
        <f t="shared" si="147"/>
        <v>0</v>
      </c>
      <c r="GA27" s="48">
        <f t="shared" si="148"/>
        <v>0</v>
      </c>
      <c r="GB27" s="48">
        <f t="shared" si="149"/>
        <v>0</v>
      </c>
      <c r="GC27" s="48">
        <f t="shared" si="150"/>
        <v>0</v>
      </c>
      <c r="GG27">
        <f t="shared" si="151"/>
        <v>0</v>
      </c>
    </row>
    <row r="28" spans="1:189" x14ac:dyDescent="0.25">
      <c r="A28" s="690"/>
      <c r="B28" s="690"/>
      <c r="C28" s="690"/>
      <c r="D28" s="690"/>
      <c r="E28" s="690"/>
      <c r="F28" s="690"/>
      <c r="G28" s="889"/>
      <c r="H28" s="690"/>
      <c r="I28" s="690"/>
      <c r="J28" s="690"/>
      <c r="K28" s="690"/>
      <c r="L28" s="690"/>
      <c r="M28" s="690"/>
      <c r="N28" s="507" t="str">
        <f t="shared" si="159"/>
        <v/>
      </c>
      <c r="O28" s="690"/>
      <c r="P28" s="507" t="str">
        <f t="shared" si="158"/>
        <v/>
      </c>
      <c r="Q28" s="690"/>
      <c r="R28" s="690"/>
      <c r="S28" s="690"/>
      <c r="T28" s="690"/>
      <c r="U28">
        <f t="shared" si="152"/>
        <v>0</v>
      </c>
      <c r="V28">
        <f t="shared" si="153"/>
        <v>0</v>
      </c>
      <c r="X28">
        <f t="shared" si="154"/>
        <v>0</v>
      </c>
      <c r="Y28">
        <f t="shared" si="155"/>
        <v>0</v>
      </c>
      <c r="Z28">
        <f t="shared" si="156"/>
        <v>0</v>
      </c>
      <c r="AA28">
        <f t="shared" si="157"/>
        <v>0</v>
      </c>
      <c r="AB28" s="25"/>
      <c r="AC28" s="25"/>
      <c r="AD28" s="25"/>
      <c r="AF28" s="48" t="s">
        <v>683</v>
      </c>
      <c r="AG28" s="689"/>
      <c r="AH28" s="689"/>
      <c r="AI28" s="48">
        <f t="shared" si="0"/>
        <v>0</v>
      </c>
      <c r="AJ28" s="48">
        <f t="shared" si="1"/>
        <v>0</v>
      </c>
      <c r="AK28" s="48">
        <f t="shared" si="2"/>
        <v>0</v>
      </c>
      <c r="AL28" s="48">
        <f t="shared" si="3"/>
        <v>0</v>
      </c>
      <c r="AM28" s="48">
        <f t="shared" si="4"/>
        <v>0</v>
      </c>
      <c r="AN28" s="48">
        <f t="shared" si="5"/>
        <v>0</v>
      </c>
      <c r="AO28" s="48">
        <f t="shared" si="6"/>
        <v>0</v>
      </c>
      <c r="AP28" s="48">
        <f t="shared" si="7"/>
        <v>0</v>
      </c>
      <c r="AQ28" s="48">
        <f t="shared" si="8"/>
        <v>0</v>
      </c>
      <c r="AR28" s="48">
        <f t="shared" si="9"/>
        <v>0</v>
      </c>
      <c r="AS28" s="48">
        <f t="shared" si="10"/>
        <v>0</v>
      </c>
      <c r="AT28" s="48">
        <f t="shared" si="11"/>
        <v>0</v>
      </c>
      <c r="AU28" s="48">
        <f t="shared" si="12"/>
        <v>0</v>
      </c>
      <c r="AV28" s="48">
        <f t="shared" si="13"/>
        <v>0</v>
      </c>
      <c r="AW28" s="48">
        <f t="shared" si="14"/>
        <v>0</v>
      </c>
      <c r="AX28" s="48">
        <f t="shared" si="15"/>
        <v>0</v>
      </c>
      <c r="AY28" s="48">
        <f t="shared" si="16"/>
        <v>0</v>
      </c>
      <c r="AZ28" s="48">
        <f t="shared" si="17"/>
        <v>0</v>
      </c>
      <c r="BA28" s="48">
        <f t="shared" si="18"/>
        <v>0</v>
      </c>
      <c r="BB28" s="48">
        <f t="shared" si="19"/>
        <v>0</v>
      </c>
      <c r="BC28" s="48">
        <f t="shared" si="20"/>
        <v>0</v>
      </c>
      <c r="BD28" s="48">
        <f t="shared" si="21"/>
        <v>0</v>
      </c>
      <c r="BE28" s="48">
        <f t="shared" si="22"/>
        <v>0</v>
      </c>
      <c r="BF28" s="48">
        <f t="shared" si="23"/>
        <v>0</v>
      </c>
      <c r="BG28" s="48">
        <f t="shared" si="24"/>
        <v>0</v>
      </c>
      <c r="BH28" s="48">
        <f t="shared" si="25"/>
        <v>0</v>
      </c>
      <c r="BI28" s="48">
        <f t="shared" si="26"/>
        <v>0</v>
      </c>
      <c r="BJ28" s="48">
        <f t="shared" si="27"/>
        <v>0</v>
      </c>
      <c r="BK28" s="48">
        <f t="shared" si="28"/>
        <v>0</v>
      </c>
      <c r="BL28" s="48">
        <f t="shared" si="29"/>
        <v>0</v>
      </c>
      <c r="BM28" s="48">
        <f t="shared" si="30"/>
        <v>0</v>
      </c>
      <c r="BN28" s="48">
        <f t="shared" si="31"/>
        <v>0</v>
      </c>
      <c r="BO28" s="48">
        <f t="shared" si="32"/>
        <v>0</v>
      </c>
      <c r="BP28" s="48">
        <f t="shared" si="33"/>
        <v>0</v>
      </c>
      <c r="BQ28" s="48">
        <f t="shared" si="34"/>
        <v>0</v>
      </c>
      <c r="BR28" s="48">
        <f t="shared" si="35"/>
        <v>0</v>
      </c>
      <c r="BS28" s="48">
        <f t="shared" si="36"/>
        <v>0</v>
      </c>
      <c r="BT28" s="48">
        <f t="shared" si="37"/>
        <v>0</v>
      </c>
      <c r="BU28" s="48">
        <f t="shared" si="38"/>
        <v>0</v>
      </c>
      <c r="BV28" s="48">
        <f t="shared" si="39"/>
        <v>0</v>
      </c>
      <c r="BW28" s="48">
        <f t="shared" si="40"/>
        <v>0</v>
      </c>
      <c r="BX28" s="48">
        <f t="shared" si="41"/>
        <v>0</v>
      </c>
      <c r="BY28" s="48">
        <f t="shared" si="42"/>
        <v>0</v>
      </c>
      <c r="BZ28" s="48">
        <f t="shared" si="43"/>
        <v>0</v>
      </c>
      <c r="CA28" s="48">
        <f t="shared" si="44"/>
        <v>0</v>
      </c>
      <c r="CB28" s="48">
        <f t="shared" si="45"/>
        <v>0</v>
      </c>
      <c r="CC28" s="48">
        <f t="shared" si="46"/>
        <v>0</v>
      </c>
      <c r="CD28" s="48">
        <f t="shared" si="47"/>
        <v>0</v>
      </c>
      <c r="CE28" s="48">
        <f t="shared" si="48"/>
        <v>0</v>
      </c>
      <c r="CF28" s="48">
        <f t="shared" si="49"/>
        <v>0</v>
      </c>
      <c r="CG28" s="48">
        <f t="shared" si="50"/>
        <v>0</v>
      </c>
      <c r="CH28" s="48">
        <f t="shared" si="51"/>
        <v>0</v>
      </c>
      <c r="CI28" s="48">
        <f t="shared" si="52"/>
        <v>0</v>
      </c>
      <c r="CJ28" s="48">
        <f t="shared" si="53"/>
        <v>0</v>
      </c>
      <c r="CK28" s="48">
        <f t="shared" si="54"/>
        <v>0</v>
      </c>
      <c r="CL28" s="48">
        <f t="shared" si="55"/>
        <v>0</v>
      </c>
      <c r="CM28" s="48">
        <f t="shared" si="56"/>
        <v>0</v>
      </c>
      <c r="CN28" s="48">
        <f t="shared" si="57"/>
        <v>0</v>
      </c>
      <c r="CO28" s="48">
        <f t="shared" si="58"/>
        <v>0</v>
      </c>
      <c r="CP28" s="48">
        <f t="shared" si="59"/>
        <v>0</v>
      </c>
      <c r="CQ28" s="48">
        <f t="shared" si="60"/>
        <v>0</v>
      </c>
      <c r="CR28" s="48">
        <f t="shared" si="61"/>
        <v>0</v>
      </c>
      <c r="CS28" s="48">
        <f t="shared" si="62"/>
        <v>0</v>
      </c>
      <c r="CT28" s="48">
        <f t="shared" si="63"/>
        <v>0</v>
      </c>
      <c r="CU28" s="48">
        <f t="shared" si="64"/>
        <v>0</v>
      </c>
      <c r="CV28" s="48">
        <f t="shared" si="65"/>
        <v>0</v>
      </c>
      <c r="CW28" s="48">
        <f t="shared" si="66"/>
        <v>0</v>
      </c>
      <c r="CX28" s="48">
        <f t="shared" si="67"/>
        <v>0</v>
      </c>
      <c r="CY28" s="48">
        <f t="shared" si="68"/>
        <v>0</v>
      </c>
      <c r="CZ28" s="48">
        <f t="shared" si="69"/>
        <v>0</v>
      </c>
      <c r="DA28" s="48">
        <f t="shared" si="70"/>
        <v>0</v>
      </c>
      <c r="DB28" s="48">
        <f t="shared" si="71"/>
        <v>0</v>
      </c>
      <c r="DC28" s="48">
        <f t="shared" si="72"/>
        <v>0</v>
      </c>
      <c r="DD28" s="48">
        <f t="shared" si="73"/>
        <v>0</v>
      </c>
      <c r="DE28" s="48">
        <f t="shared" si="74"/>
        <v>0</v>
      </c>
      <c r="DF28" s="48">
        <f t="shared" si="75"/>
        <v>0</v>
      </c>
      <c r="DG28" s="48">
        <f t="shared" si="76"/>
        <v>0</v>
      </c>
      <c r="DH28" s="48">
        <f t="shared" si="77"/>
        <v>0</v>
      </c>
      <c r="DI28" s="48">
        <f t="shared" si="78"/>
        <v>0</v>
      </c>
      <c r="DJ28" s="48">
        <f t="shared" si="79"/>
        <v>0</v>
      </c>
      <c r="DK28" s="48">
        <f t="shared" si="80"/>
        <v>0</v>
      </c>
      <c r="DL28" s="48">
        <f t="shared" si="81"/>
        <v>0</v>
      </c>
      <c r="DM28" s="48">
        <f t="shared" si="82"/>
        <v>0</v>
      </c>
      <c r="DN28" s="48">
        <f t="shared" si="83"/>
        <v>0</v>
      </c>
      <c r="DO28" s="48">
        <f t="shared" si="84"/>
        <v>0</v>
      </c>
      <c r="DP28" s="48">
        <f t="shared" si="85"/>
        <v>0</v>
      </c>
      <c r="DQ28" s="48">
        <f t="shared" si="86"/>
        <v>0</v>
      </c>
      <c r="DR28" s="48">
        <f t="shared" si="87"/>
        <v>0</v>
      </c>
      <c r="DS28" s="48">
        <f t="shared" si="88"/>
        <v>0</v>
      </c>
      <c r="DT28" s="48">
        <f t="shared" si="89"/>
        <v>0</v>
      </c>
      <c r="DU28" s="48">
        <f t="shared" si="90"/>
        <v>0</v>
      </c>
      <c r="DV28" s="48">
        <f t="shared" si="91"/>
        <v>0</v>
      </c>
      <c r="DW28" s="48">
        <f t="shared" si="92"/>
        <v>0</v>
      </c>
      <c r="DX28" s="48">
        <f t="shared" si="93"/>
        <v>0</v>
      </c>
      <c r="DY28" s="48">
        <f t="shared" si="94"/>
        <v>0</v>
      </c>
      <c r="DZ28" s="48">
        <f t="shared" si="95"/>
        <v>0</v>
      </c>
      <c r="EA28" s="48">
        <f t="shared" si="96"/>
        <v>0</v>
      </c>
      <c r="EB28" s="48">
        <f t="shared" si="97"/>
        <v>0</v>
      </c>
      <c r="EC28" s="48">
        <f t="shared" si="98"/>
        <v>0</v>
      </c>
      <c r="ED28" s="48">
        <f t="shared" si="99"/>
        <v>0</v>
      </c>
      <c r="EE28" s="48">
        <f t="shared" si="100"/>
        <v>0</v>
      </c>
      <c r="EF28" s="48">
        <f t="shared" si="101"/>
        <v>0</v>
      </c>
      <c r="EG28" s="48">
        <f t="shared" si="102"/>
        <v>0</v>
      </c>
      <c r="EH28" s="48">
        <f t="shared" si="103"/>
        <v>0</v>
      </c>
      <c r="EI28" s="48">
        <f t="shared" si="104"/>
        <v>0</v>
      </c>
      <c r="EJ28" s="48">
        <f t="shared" si="105"/>
        <v>0</v>
      </c>
      <c r="EK28" s="48">
        <f t="shared" si="106"/>
        <v>0</v>
      </c>
      <c r="EL28" s="48">
        <f t="shared" si="107"/>
        <v>0</v>
      </c>
      <c r="EM28" s="48">
        <f t="shared" si="108"/>
        <v>0</v>
      </c>
      <c r="EN28" s="48">
        <f t="shared" si="109"/>
        <v>0</v>
      </c>
      <c r="EO28" s="48">
        <f t="shared" si="110"/>
        <v>0</v>
      </c>
      <c r="EP28" s="48">
        <f t="shared" si="111"/>
        <v>0</v>
      </c>
      <c r="EQ28" s="48">
        <f t="shared" si="112"/>
        <v>0</v>
      </c>
      <c r="ER28" s="48">
        <f t="shared" si="113"/>
        <v>0</v>
      </c>
      <c r="ES28" s="48">
        <f t="shared" si="114"/>
        <v>0</v>
      </c>
      <c r="ET28" s="48">
        <f t="shared" si="115"/>
        <v>0</v>
      </c>
      <c r="EU28" s="48">
        <f t="shared" si="116"/>
        <v>0</v>
      </c>
      <c r="EV28" s="48">
        <f t="shared" si="117"/>
        <v>0</v>
      </c>
      <c r="EW28" s="48">
        <f t="shared" si="118"/>
        <v>0</v>
      </c>
      <c r="EX28" s="48">
        <f t="shared" si="119"/>
        <v>0</v>
      </c>
      <c r="EY28" s="48">
        <f t="shared" si="120"/>
        <v>0</v>
      </c>
      <c r="EZ28" s="48">
        <f t="shared" si="121"/>
        <v>0</v>
      </c>
      <c r="FA28" s="48">
        <f t="shared" si="122"/>
        <v>0</v>
      </c>
      <c r="FB28" s="48">
        <f t="shared" si="123"/>
        <v>0</v>
      </c>
      <c r="FC28" s="48">
        <f t="shared" si="124"/>
        <v>0</v>
      </c>
      <c r="FD28" s="48">
        <f t="shared" si="125"/>
        <v>0</v>
      </c>
      <c r="FE28" s="48">
        <f t="shared" si="126"/>
        <v>0</v>
      </c>
      <c r="FF28" s="48">
        <f t="shared" si="127"/>
        <v>0</v>
      </c>
      <c r="FG28" s="48">
        <f t="shared" si="128"/>
        <v>0</v>
      </c>
      <c r="FH28" s="48">
        <f t="shared" si="129"/>
        <v>0</v>
      </c>
      <c r="FI28" s="48">
        <f t="shared" si="130"/>
        <v>0</v>
      </c>
      <c r="FJ28" s="48">
        <f t="shared" si="131"/>
        <v>0</v>
      </c>
      <c r="FK28" s="48">
        <f t="shared" si="132"/>
        <v>0</v>
      </c>
      <c r="FL28" s="48">
        <f t="shared" si="133"/>
        <v>0</v>
      </c>
      <c r="FM28" s="48">
        <f t="shared" si="134"/>
        <v>0</v>
      </c>
      <c r="FN28" s="48">
        <f t="shared" si="135"/>
        <v>0</v>
      </c>
      <c r="FO28" s="48">
        <f t="shared" si="136"/>
        <v>0</v>
      </c>
      <c r="FP28" s="48">
        <f t="shared" si="137"/>
        <v>0</v>
      </c>
      <c r="FQ28" s="48">
        <f t="shared" si="138"/>
        <v>0</v>
      </c>
      <c r="FR28" s="48">
        <f t="shared" si="139"/>
        <v>0</v>
      </c>
      <c r="FS28" s="48">
        <f t="shared" si="140"/>
        <v>0</v>
      </c>
      <c r="FT28" s="48">
        <f t="shared" si="141"/>
        <v>0</v>
      </c>
      <c r="FU28" s="48">
        <f t="shared" si="142"/>
        <v>0</v>
      </c>
      <c r="FV28" s="48">
        <f t="shared" si="143"/>
        <v>0</v>
      </c>
      <c r="FW28" s="48">
        <f t="shared" si="144"/>
        <v>0</v>
      </c>
      <c r="FX28" s="48">
        <f t="shared" si="145"/>
        <v>0</v>
      </c>
      <c r="FY28" s="48">
        <f t="shared" si="146"/>
        <v>0</v>
      </c>
      <c r="FZ28" s="48">
        <f t="shared" si="147"/>
        <v>0</v>
      </c>
      <c r="GA28" s="48">
        <f t="shared" si="148"/>
        <v>0</v>
      </c>
      <c r="GB28" s="48">
        <f t="shared" si="149"/>
        <v>0</v>
      </c>
      <c r="GC28" s="48">
        <f t="shared" si="150"/>
        <v>0</v>
      </c>
      <c r="GG28">
        <f t="shared" si="151"/>
        <v>0</v>
      </c>
    </row>
    <row r="29" spans="1:189" x14ac:dyDescent="0.25">
      <c r="A29" s="690"/>
      <c r="B29" s="690"/>
      <c r="C29" s="690"/>
      <c r="D29" s="690"/>
      <c r="E29" s="690"/>
      <c r="F29" s="690"/>
      <c r="G29" s="889"/>
      <c r="H29" s="690"/>
      <c r="I29" s="690"/>
      <c r="J29" s="690"/>
      <c r="K29" s="690"/>
      <c r="L29" s="690"/>
      <c r="M29" s="690"/>
      <c r="N29" s="507" t="str">
        <f t="shared" si="159"/>
        <v/>
      </c>
      <c r="O29" s="690"/>
      <c r="P29" s="507" t="str">
        <f t="shared" si="158"/>
        <v/>
      </c>
      <c r="Q29" s="690"/>
      <c r="R29" s="690"/>
      <c r="S29" s="690"/>
      <c r="T29" s="690"/>
      <c r="U29">
        <f t="shared" si="152"/>
        <v>0</v>
      </c>
      <c r="V29">
        <f t="shared" si="153"/>
        <v>0</v>
      </c>
      <c r="X29">
        <f t="shared" si="154"/>
        <v>0</v>
      </c>
      <c r="Y29">
        <f t="shared" si="155"/>
        <v>0</v>
      </c>
      <c r="Z29">
        <f t="shared" si="156"/>
        <v>0</v>
      </c>
      <c r="AA29">
        <f t="shared" si="157"/>
        <v>0</v>
      </c>
      <c r="AB29" s="25"/>
      <c r="AC29" s="25"/>
      <c r="AD29" s="25"/>
      <c r="AF29" s="48" t="s">
        <v>684</v>
      </c>
      <c r="AG29" s="689"/>
      <c r="AH29" s="689"/>
      <c r="AI29" s="48">
        <f t="shared" si="0"/>
        <v>0</v>
      </c>
      <c r="AJ29" s="48">
        <f t="shared" si="1"/>
        <v>0</v>
      </c>
      <c r="AK29" s="48">
        <f t="shared" si="2"/>
        <v>0</v>
      </c>
      <c r="AL29" s="48">
        <f t="shared" si="3"/>
        <v>0</v>
      </c>
      <c r="AM29" s="48">
        <f t="shared" si="4"/>
        <v>0</v>
      </c>
      <c r="AN29" s="48">
        <f t="shared" si="5"/>
        <v>0</v>
      </c>
      <c r="AO29" s="48">
        <f t="shared" si="6"/>
        <v>0</v>
      </c>
      <c r="AP29" s="48">
        <f t="shared" si="7"/>
        <v>0</v>
      </c>
      <c r="AQ29" s="48">
        <f t="shared" si="8"/>
        <v>0</v>
      </c>
      <c r="AR29" s="48">
        <f t="shared" si="9"/>
        <v>0</v>
      </c>
      <c r="AS29" s="48">
        <f t="shared" si="10"/>
        <v>0</v>
      </c>
      <c r="AT29" s="48">
        <f t="shared" si="11"/>
        <v>0</v>
      </c>
      <c r="AU29" s="48">
        <f t="shared" si="12"/>
        <v>0</v>
      </c>
      <c r="AV29" s="48">
        <f t="shared" si="13"/>
        <v>0</v>
      </c>
      <c r="AW29" s="48">
        <f t="shared" si="14"/>
        <v>0</v>
      </c>
      <c r="AX29" s="48">
        <f t="shared" si="15"/>
        <v>0</v>
      </c>
      <c r="AY29" s="48">
        <f t="shared" si="16"/>
        <v>0</v>
      </c>
      <c r="AZ29" s="48">
        <f t="shared" si="17"/>
        <v>0</v>
      </c>
      <c r="BA29" s="48">
        <f t="shared" si="18"/>
        <v>0</v>
      </c>
      <c r="BB29" s="48">
        <f t="shared" si="19"/>
        <v>0</v>
      </c>
      <c r="BC29" s="48">
        <f t="shared" si="20"/>
        <v>0</v>
      </c>
      <c r="BD29" s="48">
        <f t="shared" si="21"/>
        <v>0</v>
      </c>
      <c r="BE29" s="48">
        <f t="shared" si="22"/>
        <v>0</v>
      </c>
      <c r="BF29" s="48">
        <f t="shared" si="23"/>
        <v>0</v>
      </c>
      <c r="BG29" s="48">
        <f t="shared" si="24"/>
        <v>0</v>
      </c>
      <c r="BH29" s="48">
        <f t="shared" si="25"/>
        <v>0</v>
      </c>
      <c r="BI29" s="48">
        <f t="shared" si="26"/>
        <v>0</v>
      </c>
      <c r="BJ29" s="48">
        <f t="shared" si="27"/>
        <v>0</v>
      </c>
      <c r="BK29" s="48">
        <f t="shared" si="28"/>
        <v>0</v>
      </c>
      <c r="BL29" s="48">
        <f t="shared" si="29"/>
        <v>0</v>
      </c>
      <c r="BM29" s="48">
        <f t="shared" si="30"/>
        <v>0</v>
      </c>
      <c r="BN29" s="48">
        <f t="shared" si="31"/>
        <v>0</v>
      </c>
      <c r="BO29" s="48">
        <f t="shared" si="32"/>
        <v>0</v>
      </c>
      <c r="BP29" s="48">
        <f t="shared" si="33"/>
        <v>0</v>
      </c>
      <c r="BQ29" s="48">
        <f t="shared" si="34"/>
        <v>0</v>
      </c>
      <c r="BR29" s="48">
        <f t="shared" si="35"/>
        <v>0</v>
      </c>
      <c r="BS29" s="48">
        <f t="shared" si="36"/>
        <v>0</v>
      </c>
      <c r="BT29" s="48">
        <f t="shared" si="37"/>
        <v>0</v>
      </c>
      <c r="BU29" s="48">
        <f t="shared" si="38"/>
        <v>0</v>
      </c>
      <c r="BV29" s="48">
        <f t="shared" si="39"/>
        <v>0</v>
      </c>
      <c r="BW29" s="48">
        <f t="shared" si="40"/>
        <v>0</v>
      </c>
      <c r="BX29" s="48">
        <f t="shared" si="41"/>
        <v>0</v>
      </c>
      <c r="BY29" s="48">
        <f t="shared" si="42"/>
        <v>0</v>
      </c>
      <c r="BZ29" s="48">
        <f t="shared" si="43"/>
        <v>0</v>
      </c>
      <c r="CA29" s="48">
        <f t="shared" si="44"/>
        <v>0</v>
      </c>
      <c r="CB29" s="48">
        <f t="shared" si="45"/>
        <v>0</v>
      </c>
      <c r="CC29" s="48">
        <f t="shared" si="46"/>
        <v>0</v>
      </c>
      <c r="CD29" s="48">
        <f t="shared" si="47"/>
        <v>0</v>
      </c>
      <c r="CE29" s="48">
        <f t="shared" si="48"/>
        <v>0</v>
      </c>
      <c r="CF29" s="48">
        <f t="shared" si="49"/>
        <v>0</v>
      </c>
      <c r="CG29" s="48">
        <f t="shared" si="50"/>
        <v>0</v>
      </c>
      <c r="CH29" s="48">
        <f t="shared" si="51"/>
        <v>0</v>
      </c>
      <c r="CI29" s="48">
        <f t="shared" si="52"/>
        <v>0</v>
      </c>
      <c r="CJ29" s="48">
        <f t="shared" si="53"/>
        <v>0</v>
      </c>
      <c r="CK29" s="48">
        <f t="shared" si="54"/>
        <v>0</v>
      </c>
      <c r="CL29" s="48">
        <f t="shared" si="55"/>
        <v>0</v>
      </c>
      <c r="CM29" s="48">
        <f t="shared" si="56"/>
        <v>0</v>
      </c>
      <c r="CN29" s="48">
        <f t="shared" si="57"/>
        <v>0</v>
      </c>
      <c r="CO29" s="48">
        <f t="shared" si="58"/>
        <v>0</v>
      </c>
      <c r="CP29" s="48">
        <f t="shared" si="59"/>
        <v>0</v>
      </c>
      <c r="CQ29" s="48">
        <f t="shared" si="60"/>
        <v>0</v>
      </c>
      <c r="CR29" s="48">
        <f t="shared" si="61"/>
        <v>0</v>
      </c>
      <c r="CS29" s="48">
        <f t="shared" si="62"/>
        <v>0</v>
      </c>
      <c r="CT29" s="48">
        <f t="shared" si="63"/>
        <v>0</v>
      </c>
      <c r="CU29" s="48">
        <f t="shared" si="64"/>
        <v>0</v>
      </c>
      <c r="CV29" s="48">
        <f t="shared" si="65"/>
        <v>0</v>
      </c>
      <c r="CW29" s="48">
        <f t="shared" si="66"/>
        <v>0</v>
      </c>
      <c r="CX29" s="48">
        <f t="shared" si="67"/>
        <v>0</v>
      </c>
      <c r="CY29" s="48">
        <f t="shared" si="68"/>
        <v>0</v>
      </c>
      <c r="CZ29" s="48">
        <f t="shared" si="69"/>
        <v>0</v>
      </c>
      <c r="DA29" s="48">
        <f t="shared" si="70"/>
        <v>0</v>
      </c>
      <c r="DB29" s="48">
        <f t="shared" si="71"/>
        <v>0</v>
      </c>
      <c r="DC29" s="48">
        <f t="shared" si="72"/>
        <v>0</v>
      </c>
      <c r="DD29" s="48">
        <f t="shared" si="73"/>
        <v>0</v>
      </c>
      <c r="DE29" s="48">
        <f t="shared" si="74"/>
        <v>0</v>
      </c>
      <c r="DF29" s="48">
        <f t="shared" si="75"/>
        <v>0</v>
      </c>
      <c r="DG29" s="48">
        <f t="shared" si="76"/>
        <v>0</v>
      </c>
      <c r="DH29" s="48">
        <f t="shared" si="77"/>
        <v>0</v>
      </c>
      <c r="DI29" s="48">
        <f t="shared" si="78"/>
        <v>0</v>
      </c>
      <c r="DJ29" s="48">
        <f t="shared" si="79"/>
        <v>0</v>
      </c>
      <c r="DK29" s="48">
        <f t="shared" si="80"/>
        <v>0</v>
      </c>
      <c r="DL29" s="48">
        <f t="shared" si="81"/>
        <v>0</v>
      </c>
      <c r="DM29" s="48">
        <f t="shared" si="82"/>
        <v>0</v>
      </c>
      <c r="DN29" s="48">
        <f t="shared" si="83"/>
        <v>0</v>
      </c>
      <c r="DO29" s="48">
        <f t="shared" si="84"/>
        <v>0</v>
      </c>
      <c r="DP29" s="48">
        <f t="shared" si="85"/>
        <v>0</v>
      </c>
      <c r="DQ29" s="48">
        <f t="shared" si="86"/>
        <v>0</v>
      </c>
      <c r="DR29" s="48">
        <f t="shared" si="87"/>
        <v>0</v>
      </c>
      <c r="DS29" s="48">
        <f t="shared" si="88"/>
        <v>0</v>
      </c>
      <c r="DT29" s="48">
        <f t="shared" si="89"/>
        <v>0</v>
      </c>
      <c r="DU29" s="48">
        <f t="shared" si="90"/>
        <v>0</v>
      </c>
      <c r="DV29" s="48">
        <f t="shared" si="91"/>
        <v>0</v>
      </c>
      <c r="DW29" s="48">
        <f t="shared" si="92"/>
        <v>0</v>
      </c>
      <c r="DX29" s="48">
        <f t="shared" si="93"/>
        <v>0</v>
      </c>
      <c r="DY29" s="48">
        <f t="shared" si="94"/>
        <v>0</v>
      </c>
      <c r="DZ29" s="48">
        <f t="shared" si="95"/>
        <v>0</v>
      </c>
      <c r="EA29" s="48">
        <f t="shared" si="96"/>
        <v>0</v>
      </c>
      <c r="EB29" s="48">
        <f t="shared" si="97"/>
        <v>0</v>
      </c>
      <c r="EC29" s="48">
        <f t="shared" si="98"/>
        <v>0</v>
      </c>
      <c r="ED29" s="48">
        <f t="shared" si="99"/>
        <v>0</v>
      </c>
      <c r="EE29" s="48">
        <f t="shared" si="100"/>
        <v>0</v>
      </c>
      <c r="EF29" s="48">
        <f t="shared" si="101"/>
        <v>0</v>
      </c>
      <c r="EG29" s="48">
        <f t="shared" si="102"/>
        <v>0</v>
      </c>
      <c r="EH29" s="48">
        <f t="shared" si="103"/>
        <v>0</v>
      </c>
      <c r="EI29" s="48">
        <f t="shared" si="104"/>
        <v>0</v>
      </c>
      <c r="EJ29" s="48">
        <f t="shared" si="105"/>
        <v>0</v>
      </c>
      <c r="EK29" s="48">
        <f t="shared" si="106"/>
        <v>0</v>
      </c>
      <c r="EL29" s="48">
        <f t="shared" si="107"/>
        <v>0</v>
      </c>
      <c r="EM29" s="48">
        <f t="shared" si="108"/>
        <v>0</v>
      </c>
      <c r="EN29" s="48">
        <f t="shared" si="109"/>
        <v>0</v>
      </c>
      <c r="EO29" s="48">
        <f t="shared" si="110"/>
        <v>0</v>
      </c>
      <c r="EP29" s="48">
        <f t="shared" si="111"/>
        <v>0</v>
      </c>
      <c r="EQ29" s="48">
        <f t="shared" si="112"/>
        <v>0</v>
      </c>
      <c r="ER29" s="48">
        <f t="shared" si="113"/>
        <v>0</v>
      </c>
      <c r="ES29" s="48">
        <f t="shared" si="114"/>
        <v>0</v>
      </c>
      <c r="ET29" s="48">
        <f t="shared" si="115"/>
        <v>0</v>
      </c>
      <c r="EU29" s="48">
        <f t="shared" si="116"/>
        <v>0</v>
      </c>
      <c r="EV29" s="48">
        <f t="shared" si="117"/>
        <v>0</v>
      </c>
      <c r="EW29" s="48">
        <f t="shared" si="118"/>
        <v>0</v>
      </c>
      <c r="EX29" s="48">
        <f t="shared" si="119"/>
        <v>0</v>
      </c>
      <c r="EY29" s="48">
        <f t="shared" si="120"/>
        <v>0</v>
      </c>
      <c r="EZ29" s="48">
        <f t="shared" si="121"/>
        <v>0</v>
      </c>
      <c r="FA29" s="48">
        <f t="shared" si="122"/>
        <v>0</v>
      </c>
      <c r="FB29" s="48">
        <f t="shared" si="123"/>
        <v>0</v>
      </c>
      <c r="FC29" s="48">
        <f t="shared" si="124"/>
        <v>0</v>
      </c>
      <c r="FD29" s="48">
        <f t="shared" si="125"/>
        <v>0</v>
      </c>
      <c r="FE29" s="48">
        <f t="shared" si="126"/>
        <v>0</v>
      </c>
      <c r="FF29" s="48">
        <f t="shared" si="127"/>
        <v>0</v>
      </c>
      <c r="FG29" s="48">
        <f t="shared" si="128"/>
        <v>0</v>
      </c>
      <c r="FH29" s="48">
        <f t="shared" si="129"/>
        <v>0</v>
      </c>
      <c r="FI29" s="48">
        <f t="shared" si="130"/>
        <v>0</v>
      </c>
      <c r="FJ29" s="48">
        <f t="shared" si="131"/>
        <v>0</v>
      </c>
      <c r="FK29" s="48">
        <f t="shared" si="132"/>
        <v>0</v>
      </c>
      <c r="FL29" s="48">
        <f t="shared" si="133"/>
        <v>0</v>
      </c>
      <c r="FM29" s="48">
        <f t="shared" si="134"/>
        <v>0</v>
      </c>
      <c r="FN29" s="48">
        <f t="shared" si="135"/>
        <v>0</v>
      </c>
      <c r="FO29" s="48">
        <f t="shared" si="136"/>
        <v>0</v>
      </c>
      <c r="FP29" s="48">
        <f t="shared" si="137"/>
        <v>0</v>
      </c>
      <c r="FQ29" s="48">
        <f t="shared" si="138"/>
        <v>0</v>
      </c>
      <c r="FR29" s="48">
        <f t="shared" si="139"/>
        <v>0</v>
      </c>
      <c r="FS29" s="48">
        <f t="shared" si="140"/>
        <v>0</v>
      </c>
      <c r="FT29" s="48">
        <f t="shared" si="141"/>
        <v>0</v>
      </c>
      <c r="FU29" s="48">
        <f t="shared" si="142"/>
        <v>0</v>
      </c>
      <c r="FV29" s="48">
        <f t="shared" si="143"/>
        <v>0</v>
      </c>
      <c r="FW29" s="48">
        <f t="shared" si="144"/>
        <v>0</v>
      </c>
      <c r="FX29" s="48">
        <f t="shared" si="145"/>
        <v>0</v>
      </c>
      <c r="FY29" s="48">
        <f t="shared" si="146"/>
        <v>0</v>
      </c>
      <c r="FZ29" s="48">
        <f t="shared" si="147"/>
        <v>0</v>
      </c>
      <c r="GA29" s="48">
        <f t="shared" si="148"/>
        <v>0</v>
      </c>
      <c r="GB29" s="48">
        <f t="shared" si="149"/>
        <v>0</v>
      </c>
      <c r="GC29" s="48">
        <f t="shared" si="150"/>
        <v>0</v>
      </c>
      <c r="GG29">
        <f t="shared" si="151"/>
        <v>0</v>
      </c>
    </row>
    <row r="30" spans="1:189" x14ac:dyDescent="0.25">
      <c r="A30" s="690"/>
      <c r="B30" s="690"/>
      <c r="C30" s="690"/>
      <c r="D30" s="690"/>
      <c r="E30" s="690"/>
      <c r="F30" s="690"/>
      <c r="G30" s="889"/>
      <c r="H30" s="690"/>
      <c r="I30" s="690"/>
      <c r="J30" s="690"/>
      <c r="K30" s="690"/>
      <c r="L30" s="690"/>
      <c r="M30" s="690"/>
      <c r="N30" s="507" t="str">
        <f t="shared" si="159"/>
        <v/>
      </c>
      <c r="O30" s="690"/>
      <c r="P30" s="507" t="str">
        <f t="shared" si="158"/>
        <v/>
      </c>
      <c r="Q30" s="690"/>
      <c r="R30" s="690"/>
      <c r="S30" s="690"/>
      <c r="T30" s="690"/>
      <c r="U30">
        <f t="shared" si="152"/>
        <v>0</v>
      </c>
      <c r="V30">
        <f t="shared" si="153"/>
        <v>0</v>
      </c>
      <c r="X30">
        <f t="shared" si="154"/>
        <v>0</v>
      </c>
      <c r="Y30">
        <f t="shared" si="155"/>
        <v>0</v>
      </c>
      <c r="Z30">
        <f t="shared" si="156"/>
        <v>0</v>
      </c>
      <c r="AA30">
        <f t="shared" si="157"/>
        <v>0</v>
      </c>
      <c r="AB30" s="25"/>
      <c r="AC30" s="25"/>
      <c r="AD30" s="25"/>
      <c r="AF30" s="48" t="s">
        <v>685</v>
      </c>
      <c r="AG30" s="689"/>
      <c r="AH30" s="689"/>
      <c r="AI30" s="48">
        <f t="shared" si="0"/>
        <v>0</v>
      </c>
      <c r="AJ30" s="48">
        <f t="shared" si="1"/>
        <v>0</v>
      </c>
      <c r="AK30" s="48">
        <f t="shared" si="2"/>
        <v>0</v>
      </c>
      <c r="AL30" s="48">
        <f t="shared" si="3"/>
        <v>0</v>
      </c>
      <c r="AM30" s="48">
        <f t="shared" si="4"/>
        <v>0</v>
      </c>
      <c r="AN30" s="48">
        <f t="shared" si="5"/>
        <v>0</v>
      </c>
      <c r="AO30" s="48">
        <f t="shared" si="6"/>
        <v>0</v>
      </c>
      <c r="AP30" s="48">
        <f t="shared" si="7"/>
        <v>0</v>
      </c>
      <c r="AQ30" s="48">
        <f t="shared" si="8"/>
        <v>0</v>
      </c>
      <c r="AR30" s="48">
        <f t="shared" si="9"/>
        <v>0</v>
      </c>
      <c r="AS30" s="48">
        <f t="shared" si="10"/>
        <v>0</v>
      </c>
      <c r="AT30" s="48">
        <f t="shared" si="11"/>
        <v>0</v>
      </c>
      <c r="AU30" s="48">
        <f t="shared" si="12"/>
        <v>0</v>
      </c>
      <c r="AV30" s="48">
        <f t="shared" si="13"/>
        <v>0</v>
      </c>
      <c r="AW30" s="48">
        <f t="shared" si="14"/>
        <v>0</v>
      </c>
      <c r="AX30" s="48">
        <f t="shared" si="15"/>
        <v>0</v>
      </c>
      <c r="AY30" s="48">
        <f t="shared" si="16"/>
        <v>0</v>
      </c>
      <c r="AZ30" s="48">
        <f t="shared" si="17"/>
        <v>0</v>
      </c>
      <c r="BA30" s="48">
        <f t="shared" si="18"/>
        <v>0</v>
      </c>
      <c r="BB30" s="48">
        <f t="shared" si="19"/>
        <v>0</v>
      </c>
      <c r="BC30" s="48">
        <f t="shared" si="20"/>
        <v>0</v>
      </c>
      <c r="BD30" s="48">
        <f t="shared" si="21"/>
        <v>0</v>
      </c>
      <c r="BE30" s="48">
        <f t="shared" si="22"/>
        <v>0</v>
      </c>
      <c r="BF30" s="48">
        <f t="shared" si="23"/>
        <v>0</v>
      </c>
      <c r="BG30" s="48">
        <f t="shared" si="24"/>
        <v>0</v>
      </c>
      <c r="BH30" s="48">
        <f t="shared" si="25"/>
        <v>0</v>
      </c>
      <c r="BI30" s="48">
        <f t="shared" si="26"/>
        <v>0</v>
      </c>
      <c r="BJ30" s="48">
        <f t="shared" si="27"/>
        <v>0</v>
      </c>
      <c r="BK30" s="48">
        <f t="shared" si="28"/>
        <v>0</v>
      </c>
      <c r="BL30" s="48">
        <f t="shared" si="29"/>
        <v>0</v>
      </c>
      <c r="BM30" s="48">
        <f t="shared" si="30"/>
        <v>0</v>
      </c>
      <c r="BN30" s="48">
        <f t="shared" si="31"/>
        <v>0</v>
      </c>
      <c r="BO30" s="48">
        <f t="shared" si="32"/>
        <v>0</v>
      </c>
      <c r="BP30" s="48">
        <f t="shared" si="33"/>
        <v>0</v>
      </c>
      <c r="BQ30" s="48">
        <f t="shared" si="34"/>
        <v>0</v>
      </c>
      <c r="BR30" s="48">
        <f t="shared" si="35"/>
        <v>0</v>
      </c>
      <c r="BS30" s="48">
        <f t="shared" si="36"/>
        <v>0</v>
      </c>
      <c r="BT30" s="48">
        <f t="shared" si="37"/>
        <v>0</v>
      </c>
      <c r="BU30" s="48">
        <f t="shared" si="38"/>
        <v>0</v>
      </c>
      <c r="BV30" s="48">
        <f t="shared" si="39"/>
        <v>0</v>
      </c>
      <c r="BW30" s="48">
        <f t="shared" si="40"/>
        <v>0</v>
      </c>
      <c r="BX30" s="48">
        <f t="shared" si="41"/>
        <v>0</v>
      </c>
      <c r="BY30" s="48">
        <f t="shared" si="42"/>
        <v>0</v>
      </c>
      <c r="BZ30" s="48">
        <f t="shared" si="43"/>
        <v>0</v>
      </c>
      <c r="CA30" s="48">
        <f t="shared" si="44"/>
        <v>0</v>
      </c>
      <c r="CB30" s="48">
        <f t="shared" si="45"/>
        <v>0</v>
      </c>
      <c r="CC30" s="48">
        <f t="shared" si="46"/>
        <v>0</v>
      </c>
      <c r="CD30" s="48">
        <f t="shared" si="47"/>
        <v>0</v>
      </c>
      <c r="CE30" s="48">
        <f t="shared" si="48"/>
        <v>0</v>
      </c>
      <c r="CF30" s="48">
        <f t="shared" si="49"/>
        <v>0</v>
      </c>
      <c r="CG30" s="48">
        <f t="shared" si="50"/>
        <v>0</v>
      </c>
      <c r="CH30" s="48">
        <f t="shared" si="51"/>
        <v>0</v>
      </c>
      <c r="CI30" s="48">
        <f t="shared" si="52"/>
        <v>0</v>
      </c>
      <c r="CJ30" s="48">
        <f t="shared" si="53"/>
        <v>0</v>
      </c>
      <c r="CK30" s="48">
        <f t="shared" si="54"/>
        <v>0</v>
      </c>
      <c r="CL30" s="48">
        <f t="shared" si="55"/>
        <v>0</v>
      </c>
      <c r="CM30" s="48">
        <f t="shared" si="56"/>
        <v>0</v>
      </c>
      <c r="CN30" s="48">
        <f t="shared" si="57"/>
        <v>0</v>
      </c>
      <c r="CO30" s="48">
        <f t="shared" si="58"/>
        <v>0</v>
      </c>
      <c r="CP30" s="48">
        <f t="shared" si="59"/>
        <v>0</v>
      </c>
      <c r="CQ30" s="48">
        <f t="shared" si="60"/>
        <v>0</v>
      </c>
      <c r="CR30" s="48">
        <f t="shared" si="61"/>
        <v>0</v>
      </c>
      <c r="CS30" s="48">
        <f t="shared" si="62"/>
        <v>0</v>
      </c>
      <c r="CT30" s="48">
        <f t="shared" si="63"/>
        <v>0</v>
      </c>
      <c r="CU30" s="48">
        <f t="shared" si="64"/>
        <v>0</v>
      </c>
      <c r="CV30" s="48">
        <f t="shared" si="65"/>
        <v>0</v>
      </c>
      <c r="CW30" s="48">
        <f t="shared" si="66"/>
        <v>0</v>
      </c>
      <c r="CX30" s="48">
        <f t="shared" si="67"/>
        <v>0</v>
      </c>
      <c r="CY30" s="48">
        <f t="shared" si="68"/>
        <v>0</v>
      </c>
      <c r="CZ30" s="48">
        <f t="shared" si="69"/>
        <v>0</v>
      </c>
      <c r="DA30" s="48">
        <f t="shared" si="70"/>
        <v>0</v>
      </c>
      <c r="DB30" s="48">
        <f t="shared" si="71"/>
        <v>0</v>
      </c>
      <c r="DC30" s="48">
        <f t="shared" si="72"/>
        <v>0</v>
      </c>
      <c r="DD30" s="48">
        <f t="shared" si="73"/>
        <v>0</v>
      </c>
      <c r="DE30" s="48">
        <f t="shared" si="74"/>
        <v>0</v>
      </c>
      <c r="DF30" s="48">
        <f t="shared" si="75"/>
        <v>0</v>
      </c>
      <c r="DG30" s="48">
        <f t="shared" si="76"/>
        <v>0</v>
      </c>
      <c r="DH30" s="48">
        <f t="shared" si="77"/>
        <v>0</v>
      </c>
      <c r="DI30" s="48">
        <f t="shared" si="78"/>
        <v>0</v>
      </c>
      <c r="DJ30" s="48">
        <f t="shared" si="79"/>
        <v>0</v>
      </c>
      <c r="DK30" s="48">
        <f t="shared" si="80"/>
        <v>0</v>
      </c>
      <c r="DL30" s="48">
        <f t="shared" si="81"/>
        <v>0</v>
      </c>
      <c r="DM30" s="48">
        <f t="shared" si="82"/>
        <v>0</v>
      </c>
      <c r="DN30" s="48">
        <f t="shared" si="83"/>
        <v>0</v>
      </c>
      <c r="DO30" s="48">
        <f t="shared" si="84"/>
        <v>0</v>
      </c>
      <c r="DP30" s="48">
        <f t="shared" si="85"/>
        <v>0</v>
      </c>
      <c r="DQ30" s="48">
        <f t="shared" si="86"/>
        <v>0</v>
      </c>
      <c r="DR30" s="48">
        <f t="shared" si="87"/>
        <v>0</v>
      </c>
      <c r="DS30" s="48">
        <f t="shared" si="88"/>
        <v>0</v>
      </c>
      <c r="DT30" s="48">
        <f t="shared" si="89"/>
        <v>0</v>
      </c>
      <c r="DU30" s="48">
        <f t="shared" si="90"/>
        <v>0</v>
      </c>
      <c r="DV30" s="48">
        <f t="shared" si="91"/>
        <v>0</v>
      </c>
      <c r="DW30" s="48">
        <f t="shared" si="92"/>
        <v>0</v>
      </c>
      <c r="DX30" s="48">
        <f t="shared" si="93"/>
        <v>0</v>
      </c>
      <c r="DY30" s="48">
        <f t="shared" si="94"/>
        <v>0</v>
      </c>
      <c r="DZ30" s="48">
        <f t="shared" si="95"/>
        <v>0</v>
      </c>
      <c r="EA30" s="48">
        <f t="shared" si="96"/>
        <v>0</v>
      </c>
      <c r="EB30" s="48">
        <f t="shared" si="97"/>
        <v>0</v>
      </c>
      <c r="EC30" s="48">
        <f t="shared" si="98"/>
        <v>0</v>
      </c>
      <c r="ED30" s="48">
        <f t="shared" si="99"/>
        <v>0</v>
      </c>
      <c r="EE30" s="48">
        <f t="shared" si="100"/>
        <v>0</v>
      </c>
      <c r="EF30" s="48">
        <f t="shared" si="101"/>
        <v>0</v>
      </c>
      <c r="EG30" s="48">
        <f t="shared" si="102"/>
        <v>0</v>
      </c>
      <c r="EH30" s="48">
        <f t="shared" si="103"/>
        <v>0</v>
      </c>
      <c r="EI30" s="48">
        <f t="shared" si="104"/>
        <v>0</v>
      </c>
      <c r="EJ30" s="48">
        <f t="shared" si="105"/>
        <v>0</v>
      </c>
      <c r="EK30" s="48">
        <f t="shared" si="106"/>
        <v>0</v>
      </c>
      <c r="EL30" s="48">
        <f t="shared" si="107"/>
        <v>0</v>
      </c>
      <c r="EM30" s="48">
        <f t="shared" si="108"/>
        <v>0</v>
      </c>
      <c r="EN30" s="48">
        <f t="shared" si="109"/>
        <v>0</v>
      </c>
      <c r="EO30" s="48">
        <f t="shared" si="110"/>
        <v>0</v>
      </c>
      <c r="EP30" s="48">
        <f t="shared" si="111"/>
        <v>0</v>
      </c>
      <c r="EQ30" s="48">
        <f t="shared" si="112"/>
        <v>0</v>
      </c>
      <c r="ER30" s="48">
        <f t="shared" si="113"/>
        <v>0</v>
      </c>
      <c r="ES30" s="48">
        <f t="shared" si="114"/>
        <v>0</v>
      </c>
      <c r="ET30" s="48">
        <f t="shared" si="115"/>
        <v>0</v>
      </c>
      <c r="EU30" s="48">
        <f t="shared" si="116"/>
        <v>0</v>
      </c>
      <c r="EV30" s="48">
        <f t="shared" si="117"/>
        <v>0</v>
      </c>
      <c r="EW30" s="48">
        <f t="shared" si="118"/>
        <v>0</v>
      </c>
      <c r="EX30" s="48">
        <f t="shared" si="119"/>
        <v>0</v>
      </c>
      <c r="EY30" s="48">
        <f t="shared" si="120"/>
        <v>0</v>
      </c>
      <c r="EZ30" s="48">
        <f t="shared" si="121"/>
        <v>0</v>
      </c>
      <c r="FA30" s="48">
        <f t="shared" si="122"/>
        <v>0</v>
      </c>
      <c r="FB30" s="48">
        <f t="shared" si="123"/>
        <v>0</v>
      </c>
      <c r="FC30" s="48">
        <f t="shared" si="124"/>
        <v>0</v>
      </c>
      <c r="FD30" s="48">
        <f t="shared" si="125"/>
        <v>0</v>
      </c>
      <c r="FE30" s="48">
        <f t="shared" si="126"/>
        <v>0</v>
      </c>
      <c r="FF30" s="48">
        <f t="shared" si="127"/>
        <v>0</v>
      </c>
      <c r="FG30" s="48">
        <f t="shared" si="128"/>
        <v>0</v>
      </c>
      <c r="FH30" s="48">
        <f t="shared" si="129"/>
        <v>0</v>
      </c>
      <c r="FI30" s="48">
        <f t="shared" si="130"/>
        <v>0</v>
      </c>
      <c r="FJ30" s="48">
        <f t="shared" si="131"/>
        <v>0</v>
      </c>
      <c r="FK30" s="48">
        <f t="shared" si="132"/>
        <v>0</v>
      </c>
      <c r="FL30" s="48">
        <f t="shared" si="133"/>
        <v>0</v>
      </c>
      <c r="FM30" s="48">
        <f t="shared" si="134"/>
        <v>0</v>
      </c>
      <c r="FN30" s="48">
        <f t="shared" si="135"/>
        <v>0</v>
      </c>
      <c r="FO30" s="48">
        <f t="shared" si="136"/>
        <v>0</v>
      </c>
      <c r="FP30" s="48">
        <f t="shared" si="137"/>
        <v>0</v>
      </c>
      <c r="FQ30" s="48">
        <f t="shared" si="138"/>
        <v>0</v>
      </c>
      <c r="FR30" s="48">
        <f t="shared" si="139"/>
        <v>0</v>
      </c>
      <c r="FS30" s="48">
        <f t="shared" si="140"/>
        <v>0</v>
      </c>
      <c r="FT30" s="48">
        <f t="shared" si="141"/>
        <v>0</v>
      </c>
      <c r="FU30" s="48">
        <f t="shared" si="142"/>
        <v>0</v>
      </c>
      <c r="FV30" s="48">
        <f t="shared" si="143"/>
        <v>0</v>
      </c>
      <c r="FW30" s="48">
        <f t="shared" si="144"/>
        <v>0</v>
      </c>
      <c r="FX30" s="48">
        <f t="shared" si="145"/>
        <v>0</v>
      </c>
      <c r="FY30" s="48">
        <f t="shared" si="146"/>
        <v>0</v>
      </c>
      <c r="FZ30" s="48">
        <f t="shared" si="147"/>
        <v>0</v>
      </c>
      <c r="GA30" s="48">
        <f t="shared" si="148"/>
        <v>0</v>
      </c>
      <c r="GB30" s="48">
        <f t="shared" si="149"/>
        <v>0</v>
      </c>
      <c r="GC30" s="48">
        <f t="shared" si="150"/>
        <v>0</v>
      </c>
      <c r="GG30">
        <f t="shared" si="151"/>
        <v>0</v>
      </c>
    </row>
    <row r="31" spans="1:189" x14ac:dyDescent="0.25">
      <c r="A31" s="690"/>
      <c r="B31" s="690"/>
      <c r="C31" s="690"/>
      <c r="D31" s="690"/>
      <c r="E31" s="690"/>
      <c r="F31" s="690"/>
      <c r="G31" s="889"/>
      <c r="H31" s="690"/>
      <c r="I31" s="690"/>
      <c r="J31" s="690"/>
      <c r="K31" s="690"/>
      <c r="L31" s="690"/>
      <c r="M31" s="690"/>
      <c r="N31" s="507" t="str">
        <f t="shared" si="159"/>
        <v/>
      </c>
      <c r="O31" s="690"/>
      <c r="P31" s="507" t="str">
        <f t="shared" si="158"/>
        <v/>
      </c>
      <c r="Q31" s="690"/>
      <c r="R31" s="690"/>
      <c r="S31" s="690"/>
      <c r="T31" s="690"/>
      <c r="U31">
        <f t="shared" si="152"/>
        <v>0</v>
      </c>
      <c r="V31">
        <f t="shared" si="153"/>
        <v>0</v>
      </c>
      <c r="X31">
        <f t="shared" si="154"/>
        <v>0</v>
      </c>
      <c r="Y31">
        <f t="shared" si="155"/>
        <v>0</v>
      </c>
      <c r="Z31">
        <f t="shared" si="156"/>
        <v>0</v>
      </c>
      <c r="AA31">
        <f t="shared" si="157"/>
        <v>0</v>
      </c>
      <c r="AB31" s="25"/>
      <c r="AC31" s="25"/>
      <c r="AD31" s="25"/>
      <c r="AF31" s="48" t="s">
        <v>686</v>
      </c>
      <c r="AG31" s="689"/>
      <c r="AH31" s="689"/>
      <c r="AI31" s="48">
        <f t="shared" si="0"/>
        <v>0</v>
      </c>
      <c r="AJ31" s="48">
        <f t="shared" si="1"/>
        <v>0</v>
      </c>
      <c r="AK31" s="48">
        <f t="shared" si="2"/>
        <v>0</v>
      </c>
      <c r="AL31" s="48">
        <f t="shared" si="3"/>
        <v>0</v>
      </c>
      <c r="AM31" s="48">
        <f t="shared" si="4"/>
        <v>0</v>
      </c>
      <c r="AN31" s="48">
        <f t="shared" si="5"/>
        <v>0</v>
      </c>
      <c r="AO31" s="48">
        <f t="shared" si="6"/>
        <v>0</v>
      </c>
      <c r="AP31" s="48">
        <f t="shared" si="7"/>
        <v>0</v>
      </c>
      <c r="AQ31" s="48">
        <f t="shared" si="8"/>
        <v>0</v>
      </c>
      <c r="AR31" s="48">
        <f t="shared" si="9"/>
        <v>0</v>
      </c>
      <c r="AS31" s="48">
        <f t="shared" si="10"/>
        <v>0</v>
      </c>
      <c r="AT31" s="48">
        <f t="shared" si="11"/>
        <v>0</v>
      </c>
      <c r="AU31" s="48">
        <f t="shared" si="12"/>
        <v>0</v>
      </c>
      <c r="AV31" s="48">
        <f t="shared" si="13"/>
        <v>0</v>
      </c>
      <c r="AW31" s="48">
        <f t="shared" si="14"/>
        <v>0</v>
      </c>
      <c r="AX31" s="48">
        <f t="shared" si="15"/>
        <v>0</v>
      </c>
      <c r="AY31" s="48">
        <f t="shared" si="16"/>
        <v>0</v>
      </c>
      <c r="AZ31" s="48">
        <f t="shared" si="17"/>
        <v>0</v>
      </c>
      <c r="BA31" s="48">
        <f t="shared" si="18"/>
        <v>0</v>
      </c>
      <c r="BB31" s="48">
        <f t="shared" si="19"/>
        <v>0</v>
      </c>
      <c r="BC31" s="48">
        <f t="shared" si="20"/>
        <v>0</v>
      </c>
      <c r="BD31" s="48">
        <f t="shared" si="21"/>
        <v>0</v>
      </c>
      <c r="BE31" s="48">
        <f t="shared" si="22"/>
        <v>0</v>
      </c>
      <c r="BF31" s="48">
        <f t="shared" si="23"/>
        <v>0</v>
      </c>
      <c r="BG31" s="48">
        <f t="shared" si="24"/>
        <v>0</v>
      </c>
      <c r="BH31" s="48">
        <f t="shared" si="25"/>
        <v>0</v>
      </c>
      <c r="BI31" s="48">
        <f t="shared" si="26"/>
        <v>0</v>
      </c>
      <c r="BJ31" s="48">
        <f t="shared" si="27"/>
        <v>0</v>
      </c>
      <c r="BK31" s="48">
        <f t="shared" si="28"/>
        <v>0</v>
      </c>
      <c r="BL31" s="48">
        <f t="shared" si="29"/>
        <v>0</v>
      </c>
      <c r="BM31" s="48">
        <f t="shared" si="30"/>
        <v>0</v>
      </c>
      <c r="BN31" s="48">
        <f t="shared" si="31"/>
        <v>0</v>
      </c>
      <c r="BO31" s="48">
        <f t="shared" si="32"/>
        <v>0</v>
      </c>
      <c r="BP31" s="48">
        <f t="shared" si="33"/>
        <v>0</v>
      </c>
      <c r="BQ31" s="48">
        <f t="shared" si="34"/>
        <v>0</v>
      </c>
      <c r="BR31" s="48">
        <f t="shared" si="35"/>
        <v>0</v>
      </c>
      <c r="BS31" s="48">
        <f t="shared" si="36"/>
        <v>0</v>
      </c>
      <c r="BT31" s="48">
        <f t="shared" si="37"/>
        <v>0</v>
      </c>
      <c r="BU31" s="48">
        <f t="shared" si="38"/>
        <v>0</v>
      </c>
      <c r="BV31" s="48">
        <f t="shared" si="39"/>
        <v>0</v>
      </c>
      <c r="BW31" s="48">
        <f t="shared" si="40"/>
        <v>0</v>
      </c>
      <c r="BX31" s="48">
        <f t="shared" si="41"/>
        <v>0</v>
      </c>
      <c r="BY31" s="48">
        <f t="shared" si="42"/>
        <v>0</v>
      </c>
      <c r="BZ31" s="48">
        <f t="shared" si="43"/>
        <v>0</v>
      </c>
      <c r="CA31" s="48">
        <f t="shared" si="44"/>
        <v>0</v>
      </c>
      <c r="CB31" s="48">
        <f t="shared" si="45"/>
        <v>0</v>
      </c>
      <c r="CC31" s="48">
        <f t="shared" si="46"/>
        <v>0</v>
      </c>
      <c r="CD31" s="48">
        <f t="shared" si="47"/>
        <v>0</v>
      </c>
      <c r="CE31" s="48">
        <f t="shared" si="48"/>
        <v>0</v>
      </c>
      <c r="CF31" s="48">
        <f t="shared" si="49"/>
        <v>0</v>
      </c>
      <c r="CG31" s="48">
        <f t="shared" si="50"/>
        <v>0</v>
      </c>
      <c r="CH31" s="48">
        <f t="shared" si="51"/>
        <v>0</v>
      </c>
      <c r="CI31" s="48">
        <f t="shared" si="52"/>
        <v>0</v>
      </c>
      <c r="CJ31" s="48">
        <f t="shared" si="53"/>
        <v>0</v>
      </c>
      <c r="CK31" s="48">
        <f t="shared" si="54"/>
        <v>0</v>
      </c>
      <c r="CL31" s="48">
        <f t="shared" si="55"/>
        <v>0</v>
      </c>
      <c r="CM31" s="48">
        <f t="shared" si="56"/>
        <v>0</v>
      </c>
      <c r="CN31" s="48">
        <f t="shared" si="57"/>
        <v>0</v>
      </c>
      <c r="CO31" s="48">
        <f t="shared" si="58"/>
        <v>0</v>
      </c>
      <c r="CP31" s="48">
        <f t="shared" si="59"/>
        <v>0</v>
      </c>
      <c r="CQ31" s="48">
        <f t="shared" si="60"/>
        <v>0</v>
      </c>
      <c r="CR31" s="48">
        <f t="shared" si="61"/>
        <v>0</v>
      </c>
      <c r="CS31" s="48">
        <f t="shared" si="62"/>
        <v>0</v>
      </c>
      <c r="CT31" s="48">
        <f t="shared" si="63"/>
        <v>0</v>
      </c>
      <c r="CU31" s="48">
        <f t="shared" si="64"/>
        <v>0</v>
      </c>
      <c r="CV31" s="48">
        <f t="shared" si="65"/>
        <v>0</v>
      </c>
      <c r="CW31" s="48">
        <f t="shared" si="66"/>
        <v>0</v>
      </c>
      <c r="CX31" s="48">
        <f t="shared" si="67"/>
        <v>0</v>
      </c>
      <c r="CY31" s="48">
        <f t="shared" si="68"/>
        <v>0</v>
      </c>
      <c r="CZ31" s="48">
        <f t="shared" si="69"/>
        <v>0</v>
      </c>
      <c r="DA31" s="48">
        <f t="shared" si="70"/>
        <v>0</v>
      </c>
      <c r="DB31" s="48">
        <f t="shared" si="71"/>
        <v>0</v>
      </c>
      <c r="DC31" s="48">
        <f t="shared" si="72"/>
        <v>0</v>
      </c>
      <c r="DD31" s="48">
        <f t="shared" si="73"/>
        <v>0</v>
      </c>
      <c r="DE31" s="48">
        <f t="shared" si="74"/>
        <v>0</v>
      </c>
      <c r="DF31" s="48">
        <f t="shared" si="75"/>
        <v>0</v>
      </c>
      <c r="DG31" s="48">
        <f t="shared" si="76"/>
        <v>0</v>
      </c>
      <c r="DH31" s="48">
        <f t="shared" si="77"/>
        <v>0</v>
      </c>
      <c r="DI31" s="48">
        <f t="shared" si="78"/>
        <v>0</v>
      </c>
      <c r="DJ31" s="48">
        <f t="shared" si="79"/>
        <v>0</v>
      </c>
      <c r="DK31" s="48">
        <f t="shared" si="80"/>
        <v>0</v>
      </c>
      <c r="DL31" s="48">
        <f t="shared" si="81"/>
        <v>0</v>
      </c>
      <c r="DM31" s="48">
        <f t="shared" si="82"/>
        <v>0</v>
      </c>
      <c r="DN31" s="48">
        <f t="shared" si="83"/>
        <v>0</v>
      </c>
      <c r="DO31" s="48">
        <f t="shared" si="84"/>
        <v>0</v>
      </c>
      <c r="DP31" s="48">
        <f t="shared" si="85"/>
        <v>0</v>
      </c>
      <c r="DQ31" s="48">
        <f t="shared" si="86"/>
        <v>0</v>
      </c>
      <c r="DR31" s="48">
        <f t="shared" si="87"/>
        <v>0</v>
      </c>
      <c r="DS31" s="48">
        <f t="shared" si="88"/>
        <v>0</v>
      </c>
      <c r="DT31" s="48">
        <f t="shared" si="89"/>
        <v>0</v>
      </c>
      <c r="DU31" s="48">
        <f t="shared" si="90"/>
        <v>0</v>
      </c>
      <c r="DV31" s="48">
        <f t="shared" si="91"/>
        <v>0</v>
      </c>
      <c r="DW31" s="48">
        <f t="shared" si="92"/>
        <v>0</v>
      </c>
      <c r="DX31" s="48">
        <f t="shared" si="93"/>
        <v>0</v>
      </c>
      <c r="DY31" s="48">
        <f t="shared" si="94"/>
        <v>0</v>
      </c>
      <c r="DZ31" s="48">
        <f t="shared" si="95"/>
        <v>0</v>
      </c>
      <c r="EA31" s="48">
        <f t="shared" si="96"/>
        <v>0</v>
      </c>
      <c r="EB31" s="48">
        <f t="shared" si="97"/>
        <v>0</v>
      </c>
      <c r="EC31" s="48">
        <f t="shared" si="98"/>
        <v>0</v>
      </c>
      <c r="ED31" s="48">
        <f t="shared" si="99"/>
        <v>0</v>
      </c>
      <c r="EE31" s="48">
        <f t="shared" si="100"/>
        <v>0</v>
      </c>
      <c r="EF31" s="48">
        <f t="shared" si="101"/>
        <v>0</v>
      </c>
      <c r="EG31" s="48">
        <f t="shared" si="102"/>
        <v>0</v>
      </c>
      <c r="EH31" s="48">
        <f t="shared" si="103"/>
        <v>0</v>
      </c>
      <c r="EI31" s="48">
        <f t="shared" si="104"/>
        <v>0</v>
      </c>
      <c r="EJ31" s="48">
        <f t="shared" si="105"/>
        <v>0</v>
      </c>
      <c r="EK31" s="48">
        <f t="shared" si="106"/>
        <v>0</v>
      </c>
      <c r="EL31" s="48">
        <f t="shared" si="107"/>
        <v>0</v>
      </c>
      <c r="EM31" s="48">
        <f t="shared" si="108"/>
        <v>0</v>
      </c>
      <c r="EN31" s="48">
        <f t="shared" si="109"/>
        <v>0</v>
      </c>
      <c r="EO31" s="48">
        <f t="shared" si="110"/>
        <v>0</v>
      </c>
      <c r="EP31" s="48">
        <f t="shared" si="111"/>
        <v>0</v>
      </c>
      <c r="EQ31" s="48">
        <f t="shared" si="112"/>
        <v>0</v>
      </c>
      <c r="ER31" s="48">
        <f t="shared" si="113"/>
        <v>0</v>
      </c>
      <c r="ES31" s="48">
        <f t="shared" si="114"/>
        <v>0</v>
      </c>
      <c r="ET31" s="48">
        <f t="shared" si="115"/>
        <v>0</v>
      </c>
      <c r="EU31" s="48">
        <f t="shared" si="116"/>
        <v>0</v>
      </c>
      <c r="EV31" s="48">
        <f t="shared" si="117"/>
        <v>0</v>
      </c>
      <c r="EW31" s="48">
        <f t="shared" si="118"/>
        <v>0</v>
      </c>
      <c r="EX31" s="48">
        <f t="shared" si="119"/>
        <v>0</v>
      </c>
      <c r="EY31" s="48">
        <f t="shared" si="120"/>
        <v>0</v>
      </c>
      <c r="EZ31" s="48">
        <f t="shared" si="121"/>
        <v>0</v>
      </c>
      <c r="FA31" s="48">
        <f t="shared" si="122"/>
        <v>0</v>
      </c>
      <c r="FB31" s="48">
        <f t="shared" si="123"/>
        <v>0</v>
      </c>
      <c r="FC31" s="48">
        <f t="shared" si="124"/>
        <v>0</v>
      </c>
      <c r="FD31" s="48">
        <f t="shared" si="125"/>
        <v>0</v>
      </c>
      <c r="FE31" s="48">
        <f t="shared" si="126"/>
        <v>0</v>
      </c>
      <c r="FF31" s="48">
        <f t="shared" si="127"/>
        <v>0</v>
      </c>
      <c r="FG31" s="48">
        <f t="shared" si="128"/>
        <v>0</v>
      </c>
      <c r="FH31" s="48">
        <f t="shared" si="129"/>
        <v>0</v>
      </c>
      <c r="FI31" s="48">
        <f t="shared" si="130"/>
        <v>0</v>
      </c>
      <c r="FJ31" s="48">
        <f t="shared" si="131"/>
        <v>0</v>
      </c>
      <c r="FK31" s="48">
        <f t="shared" si="132"/>
        <v>0</v>
      </c>
      <c r="FL31" s="48">
        <f t="shared" si="133"/>
        <v>0</v>
      </c>
      <c r="FM31" s="48">
        <f t="shared" si="134"/>
        <v>0</v>
      </c>
      <c r="FN31" s="48">
        <f t="shared" si="135"/>
        <v>0</v>
      </c>
      <c r="FO31" s="48">
        <f t="shared" si="136"/>
        <v>0</v>
      </c>
      <c r="FP31" s="48">
        <f t="shared" si="137"/>
        <v>0</v>
      </c>
      <c r="FQ31" s="48">
        <f t="shared" si="138"/>
        <v>0</v>
      </c>
      <c r="FR31" s="48">
        <f t="shared" si="139"/>
        <v>0</v>
      </c>
      <c r="FS31" s="48">
        <f t="shared" si="140"/>
        <v>0</v>
      </c>
      <c r="FT31" s="48">
        <f t="shared" si="141"/>
        <v>0</v>
      </c>
      <c r="FU31" s="48">
        <f t="shared" si="142"/>
        <v>0</v>
      </c>
      <c r="FV31" s="48">
        <f t="shared" si="143"/>
        <v>0</v>
      </c>
      <c r="FW31" s="48">
        <f t="shared" si="144"/>
        <v>0</v>
      </c>
      <c r="FX31" s="48">
        <f t="shared" si="145"/>
        <v>0</v>
      </c>
      <c r="FY31" s="48">
        <f t="shared" si="146"/>
        <v>0</v>
      </c>
      <c r="FZ31" s="48">
        <f t="shared" si="147"/>
        <v>0</v>
      </c>
      <c r="GA31" s="48">
        <f t="shared" si="148"/>
        <v>0</v>
      </c>
      <c r="GB31" s="48">
        <f t="shared" si="149"/>
        <v>0</v>
      </c>
      <c r="GC31" s="48">
        <f t="shared" si="150"/>
        <v>0</v>
      </c>
      <c r="GG31">
        <f t="shared" si="151"/>
        <v>0</v>
      </c>
    </row>
    <row r="32" spans="1:189" x14ac:dyDescent="0.25">
      <c r="A32" s="690"/>
      <c r="B32" s="690"/>
      <c r="C32" s="690"/>
      <c r="D32" s="690"/>
      <c r="E32" s="690"/>
      <c r="F32" s="690"/>
      <c r="G32" s="889"/>
      <c r="H32" s="690"/>
      <c r="I32" s="690"/>
      <c r="J32" s="690"/>
      <c r="K32" s="690"/>
      <c r="L32" s="690"/>
      <c r="M32" s="690"/>
      <c r="N32" s="507" t="str">
        <f t="shared" si="159"/>
        <v/>
      </c>
      <c r="O32" s="690"/>
      <c r="P32" s="507" t="str">
        <f t="shared" si="158"/>
        <v/>
      </c>
      <c r="Q32" s="690"/>
      <c r="R32" s="690"/>
      <c r="S32" s="690"/>
      <c r="T32" s="690"/>
      <c r="U32">
        <f t="shared" si="152"/>
        <v>0</v>
      </c>
      <c r="V32">
        <f t="shared" si="153"/>
        <v>0</v>
      </c>
      <c r="X32">
        <f t="shared" si="154"/>
        <v>0</v>
      </c>
      <c r="Y32">
        <f t="shared" si="155"/>
        <v>0</v>
      </c>
      <c r="Z32">
        <f t="shared" si="156"/>
        <v>0</v>
      </c>
      <c r="AA32">
        <f t="shared" si="157"/>
        <v>0</v>
      </c>
      <c r="AB32" s="25"/>
      <c r="AC32" s="25"/>
      <c r="AD32" s="25"/>
      <c r="AF32" s="48" t="s">
        <v>687</v>
      </c>
      <c r="AG32" s="689"/>
      <c r="AH32" s="689"/>
      <c r="AI32" s="48">
        <f t="shared" si="0"/>
        <v>0</v>
      </c>
      <c r="AJ32" s="48">
        <f t="shared" si="1"/>
        <v>0</v>
      </c>
      <c r="AK32" s="48">
        <f t="shared" si="2"/>
        <v>0</v>
      </c>
      <c r="AL32" s="48">
        <f t="shared" si="3"/>
        <v>0</v>
      </c>
      <c r="AM32" s="48">
        <f t="shared" si="4"/>
        <v>0</v>
      </c>
      <c r="AN32" s="48">
        <f t="shared" si="5"/>
        <v>0</v>
      </c>
      <c r="AO32" s="48">
        <f t="shared" si="6"/>
        <v>0</v>
      </c>
      <c r="AP32" s="48">
        <f t="shared" si="7"/>
        <v>0</v>
      </c>
      <c r="AQ32" s="48">
        <f t="shared" si="8"/>
        <v>0</v>
      </c>
      <c r="AR32" s="48">
        <f t="shared" si="9"/>
        <v>0</v>
      </c>
      <c r="AS32" s="48">
        <f t="shared" si="10"/>
        <v>0</v>
      </c>
      <c r="AT32" s="48">
        <f t="shared" si="11"/>
        <v>0</v>
      </c>
      <c r="AU32" s="48">
        <f t="shared" si="12"/>
        <v>0</v>
      </c>
      <c r="AV32" s="48">
        <f t="shared" si="13"/>
        <v>0</v>
      </c>
      <c r="AW32" s="48">
        <f t="shared" si="14"/>
        <v>0</v>
      </c>
      <c r="AX32" s="48">
        <f t="shared" si="15"/>
        <v>0</v>
      </c>
      <c r="AY32" s="48">
        <f t="shared" si="16"/>
        <v>0</v>
      </c>
      <c r="AZ32" s="48">
        <f t="shared" si="17"/>
        <v>0</v>
      </c>
      <c r="BA32" s="48">
        <f t="shared" si="18"/>
        <v>0</v>
      </c>
      <c r="BB32" s="48">
        <f t="shared" si="19"/>
        <v>0</v>
      </c>
      <c r="BC32" s="48">
        <f t="shared" si="20"/>
        <v>0</v>
      </c>
      <c r="BD32" s="48">
        <f t="shared" si="21"/>
        <v>0</v>
      </c>
      <c r="BE32" s="48">
        <f t="shared" si="22"/>
        <v>0</v>
      </c>
      <c r="BF32" s="48">
        <f t="shared" si="23"/>
        <v>0</v>
      </c>
      <c r="BG32" s="48">
        <f t="shared" si="24"/>
        <v>0</v>
      </c>
      <c r="BH32" s="48">
        <f t="shared" si="25"/>
        <v>0</v>
      </c>
      <c r="BI32" s="48">
        <f t="shared" si="26"/>
        <v>0</v>
      </c>
      <c r="BJ32" s="48">
        <f t="shared" si="27"/>
        <v>0</v>
      </c>
      <c r="BK32" s="48">
        <f t="shared" si="28"/>
        <v>0</v>
      </c>
      <c r="BL32" s="48">
        <f t="shared" si="29"/>
        <v>0</v>
      </c>
      <c r="BM32" s="48">
        <f t="shared" si="30"/>
        <v>0</v>
      </c>
      <c r="BN32" s="48">
        <f t="shared" si="31"/>
        <v>0</v>
      </c>
      <c r="BO32" s="48">
        <f t="shared" si="32"/>
        <v>0</v>
      </c>
      <c r="BP32" s="48">
        <f t="shared" si="33"/>
        <v>0</v>
      </c>
      <c r="BQ32" s="48">
        <f t="shared" si="34"/>
        <v>0</v>
      </c>
      <c r="BR32" s="48">
        <f t="shared" si="35"/>
        <v>0</v>
      </c>
      <c r="BS32" s="48">
        <f t="shared" si="36"/>
        <v>0</v>
      </c>
      <c r="BT32" s="48">
        <f t="shared" si="37"/>
        <v>0</v>
      </c>
      <c r="BU32" s="48">
        <f t="shared" si="38"/>
        <v>0</v>
      </c>
      <c r="BV32" s="48">
        <f t="shared" si="39"/>
        <v>0</v>
      </c>
      <c r="BW32" s="48">
        <f t="shared" si="40"/>
        <v>0</v>
      </c>
      <c r="BX32" s="48">
        <f t="shared" si="41"/>
        <v>0</v>
      </c>
      <c r="BY32" s="48">
        <f t="shared" si="42"/>
        <v>0</v>
      </c>
      <c r="BZ32" s="48">
        <f t="shared" si="43"/>
        <v>0</v>
      </c>
      <c r="CA32" s="48">
        <f t="shared" si="44"/>
        <v>0</v>
      </c>
      <c r="CB32" s="48">
        <f t="shared" si="45"/>
        <v>0</v>
      </c>
      <c r="CC32" s="48">
        <f t="shared" si="46"/>
        <v>0</v>
      </c>
      <c r="CD32" s="48">
        <f t="shared" si="47"/>
        <v>0</v>
      </c>
      <c r="CE32" s="48">
        <f t="shared" si="48"/>
        <v>0</v>
      </c>
      <c r="CF32" s="48">
        <f t="shared" si="49"/>
        <v>0</v>
      </c>
      <c r="CG32" s="48">
        <f t="shared" si="50"/>
        <v>0</v>
      </c>
      <c r="CH32" s="48">
        <f t="shared" si="51"/>
        <v>0</v>
      </c>
      <c r="CI32" s="48">
        <f t="shared" si="52"/>
        <v>0</v>
      </c>
      <c r="CJ32" s="48">
        <f t="shared" si="53"/>
        <v>0</v>
      </c>
      <c r="CK32" s="48">
        <f t="shared" si="54"/>
        <v>0</v>
      </c>
      <c r="CL32" s="48">
        <f t="shared" si="55"/>
        <v>0</v>
      </c>
      <c r="CM32" s="48">
        <f t="shared" si="56"/>
        <v>0</v>
      </c>
      <c r="CN32" s="48">
        <f t="shared" si="57"/>
        <v>0</v>
      </c>
      <c r="CO32" s="48">
        <f t="shared" si="58"/>
        <v>0</v>
      </c>
      <c r="CP32" s="48">
        <f t="shared" si="59"/>
        <v>0</v>
      </c>
      <c r="CQ32" s="48">
        <f t="shared" si="60"/>
        <v>0</v>
      </c>
      <c r="CR32" s="48">
        <f t="shared" si="61"/>
        <v>0</v>
      </c>
      <c r="CS32" s="48">
        <f t="shared" si="62"/>
        <v>0</v>
      </c>
      <c r="CT32" s="48">
        <f t="shared" si="63"/>
        <v>0</v>
      </c>
      <c r="CU32" s="48">
        <f t="shared" si="64"/>
        <v>0</v>
      </c>
      <c r="CV32" s="48">
        <f t="shared" si="65"/>
        <v>0</v>
      </c>
      <c r="CW32" s="48">
        <f t="shared" si="66"/>
        <v>0</v>
      </c>
      <c r="CX32" s="48">
        <f t="shared" si="67"/>
        <v>0</v>
      </c>
      <c r="CY32" s="48">
        <f t="shared" si="68"/>
        <v>0</v>
      </c>
      <c r="CZ32" s="48">
        <f t="shared" si="69"/>
        <v>0</v>
      </c>
      <c r="DA32" s="48">
        <f t="shared" si="70"/>
        <v>0</v>
      </c>
      <c r="DB32" s="48">
        <f t="shared" si="71"/>
        <v>0</v>
      </c>
      <c r="DC32" s="48">
        <f t="shared" si="72"/>
        <v>0</v>
      </c>
      <c r="DD32" s="48">
        <f t="shared" si="73"/>
        <v>0</v>
      </c>
      <c r="DE32" s="48">
        <f t="shared" si="74"/>
        <v>0</v>
      </c>
      <c r="DF32" s="48">
        <f t="shared" si="75"/>
        <v>0</v>
      </c>
      <c r="DG32" s="48">
        <f t="shared" si="76"/>
        <v>0</v>
      </c>
      <c r="DH32" s="48">
        <f t="shared" si="77"/>
        <v>0</v>
      </c>
      <c r="DI32" s="48">
        <f t="shared" si="78"/>
        <v>0</v>
      </c>
      <c r="DJ32" s="48">
        <f t="shared" si="79"/>
        <v>0</v>
      </c>
      <c r="DK32" s="48">
        <f t="shared" si="80"/>
        <v>0</v>
      </c>
      <c r="DL32" s="48">
        <f t="shared" si="81"/>
        <v>0</v>
      </c>
      <c r="DM32" s="48">
        <f t="shared" si="82"/>
        <v>0</v>
      </c>
      <c r="DN32" s="48">
        <f t="shared" si="83"/>
        <v>0</v>
      </c>
      <c r="DO32" s="48">
        <f t="shared" si="84"/>
        <v>0</v>
      </c>
      <c r="DP32" s="48">
        <f t="shared" si="85"/>
        <v>0</v>
      </c>
      <c r="DQ32" s="48">
        <f t="shared" si="86"/>
        <v>0</v>
      </c>
      <c r="DR32" s="48">
        <f t="shared" si="87"/>
        <v>0</v>
      </c>
      <c r="DS32" s="48">
        <f t="shared" si="88"/>
        <v>0</v>
      </c>
      <c r="DT32" s="48">
        <f t="shared" si="89"/>
        <v>0</v>
      </c>
      <c r="DU32" s="48">
        <f t="shared" si="90"/>
        <v>0</v>
      </c>
      <c r="DV32" s="48">
        <f t="shared" si="91"/>
        <v>0</v>
      </c>
      <c r="DW32" s="48">
        <f t="shared" si="92"/>
        <v>0</v>
      </c>
      <c r="DX32" s="48">
        <f t="shared" si="93"/>
        <v>0</v>
      </c>
      <c r="DY32" s="48">
        <f t="shared" si="94"/>
        <v>0</v>
      </c>
      <c r="DZ32" s="48">
        <f t="shared" si="95"/>
        <v>0</v>
      </c>
      <c r="EA32" s="48">
        <f t="shared" si="96"/>
        <v>0</v>
      </c>
      <c r="EB32" s="48">
        <f t="shared" si="97"/>
        <v>0</v>
      </c>
      <c r="EC32" s="48">
        <f t="shared" si="98"/>
        <v>0</v>
      </c>
      <c r="ED32" s="48">
        <f t="shared" si="99"/>
        <v>0</v>
      </c>
      <c r="EE32" s="48">
        <f t="shared" si="100"/>
        <v>0</v>
      </c>
      <c r="EF32" s="48">
        <f t="shared" si="101"/>
        <v>0</v>
      </c>
      <c r="EG32" s="48">
        <f t="shared" si="102"/>
        <v>0</v>
      </c>
      <c r="EH32" s="48">
        <f t="shared" si="103"/>
        <v>0</v>
      </c>
      <c r="EI32" s="48">
        <f t="shared" si="104"/>
        <v>0</v>
      </c>
      <c r="EJ32" s="48">
        <f t="shared" si="105"/>
        <v>0</v>
      </c>
      <c r="EK32" s="48">
        <f t="shared" si="106"/>
        <v>0</v>
      </c>
      <c r="EL32" s="48">
        <f t="shared" si="107"/>
        <v>0</v>
      </c>
      <c r="EM32" s="48">
        <f t="shared" si="108"/>
        <v>0</v>
      </c>
      <c r="EN32" s="48">
        <f t="shared" si="109"/>
        <v>0</v>
      </c>
      <c r="EO32" s="48">
        <f t="shared" si="110"/>
        <v>0</v>
      </c>
      <c r="EP32" s="48">
        <f t="shared" si="111"/>
        <v>0</v>
      </c>
      <c r="EQ32" s="48">
        <f t="shared" si="112"/>
        <v>0</v>
      </c>
      <c r="ER32" s="48">
        <f t="shared" si="113"/>
        <v>0</v>
      </c>
      <c r="ES32" s="48">
        <f t="shared" si="114"/>
        <v>0</v>
      </c>
      <c r="ET32" s="48">
        <f t="shared" si="115"/>
        <v>0</v>
      </c>
      <c r="EU32" s="48">
        <f t="shared" si="116"/>
        <v>0</v>
      </c>
      <c r="EV32" s="48">
        <f t="shared" si="117"/>
        <v>0</v>
      </c>
      <c r="EW32" s="48">
        <f t="shared" si="118"/>
        <v>0</v>
      </c>
      <c r="EX32" s="48">
        <f t="shared" si="119"/>
        <v>0</v>
      </c>
      <c r="EY32" s="48">
        <f t="shared" si="120"/>
        <v>0</v>
      </c>
      <c r="EZ32" s="48">
        <f t="shared" si="121"/>
        <v>0</v>
      </c>
      <c r="FA32" s="48">
        <f t="shared" si="122"/>
        <v>0</v>
      </c>
      <c r="FB32" s="48">
        <f t="shared" si="123"/>
        <v>0</v>
      </c>
      <c r="FC32" s="48">
        <f t="shared" si="124"/>
        <v>0</v>
      </c>
      <c r="FD32" s="48">
        <f t="shared" si="125"/>
        <v>0</v>
      </c>
      <c r="FE32" s="48">
        <f t="shared" si="126"/>
        <v>0</v>
      </c>
      <c r="FF32" s="48">
        <f t="shared" si="127"/>
        <v>0</v>
      </c>
      <c r="FG32" s="48">
        <f t="shared" si="128"/>
        <v>0</v>
      </c>
      <c r="FH32" s="48">
        <f t="shared" si="129"/>
        <v>0</v>
      </c>
      <c r="FI32" s="48">
        <f t="shared" si="130"/>
        <v>0</v>
      </c>
      <c r="FJ32" s="48">
        <f t="shared" si="131"/>
        <v>0</v>
      </c>
      <c r="FK32" s="48">
        <f t="shared" si="132"/>
        <v>0</v>
      </c>
      <c r="FL32" s="48">
        <f t="shared" si="133"/>
        <v>0</v>
      </c>
      <c r="FM32" s="48">
        <f t="shared" si="134"/>
        <v>0</v>
      </c>
      <c r="FN32" s="48">
        <f t="shared" si="135"/>
        <v>0</v>
      </c>
      <c r="FO32" s="48">
        <f t="shared" si="136"/>
        <v>0</v>
      </c>
      <c r="FP32" s="48">
        <f t="shared" si="137"/>
        <v>0</v>
      </c>
      <c r="FQ32" s="48">
        <f t="shared" si="138"/>
        <v>0</v>
      </c>
      <c r="FR32" s="48">
        <f t="shared" si="139"/>
        <v>0</v>
      </c>
      <c r="FS32" s="48">
        <f t="shared" si="140"/>
        <v>0</v>
      </c>
      <c r="FT32" s="48">
        <f t="shared" si="141"/>
        <v>0</v>
      </c>
      <c r="FU32" s="48">
        <f t="shared" si="142"/>
        <v>0</v>
      </c>
      <c r="FV32" s="48">
        <f t="shared" si="143"/>
        <v>0</v>
      </c>
      <c r="FW32" s="48">
        <f t="shared" si="144"/>
        <v>0</v>
      </c>
      <c r="FX32" s="48">
        <f t="shared" si="145"/>
        <v>0</v>
      </c>
      <c r="FY32" s="48">
        <f t="shared" si="146"/>
        <v>0</v>
      </c>
      <c r="FZ32" s="48">
        <f t="shared" si="147"/>
        <v>0</v>
      </c>
      <c r="GA32" s="48">
        <f t="shared" si="148"/>
        <v>0</v>
      </c>
      <c r="GB32" s="48">
        <f t="shared" si="149"/>
        <v>0</v>
      </c>
      <c r="GC32" s="48">
        <f t="shared" si="150"/>
        <v>0</v>
      </c>
      <c r="GG32">
        <f t="shared" si="151"/>
        <v>0</v>
      </c>
    </row>
    <row r="33" spans="1:189" x14ac:dyDescent="0.25">
      <c r="A33" s="690"/>
      <c r="B33" s="690"/>
      <c r="C33" s="690"/>
      <c r="D33" s="690"/>
      <c r="E33" s="690"/>
      <c r="F33" s="690"/>
      <c r="G33" s="889"/>
      <c r="H33" s="690"/>
      <c r="I33" s="690"/>
      <c r="J33" s="690"/>
      <c r="K33" s="690"/>
      <c r="L33" s="690"/>
      <c r="M33" s="690"/>
      <c r="N33" s="507" t="str">
        <f t="shared" si="159"/>
        <v/>
      </c>
      <c r="O33" s="690"/>
      <c r="P33" s="507" t="str">
        <f t="shared" si="158"/>
        <v/>
      </c>
      <c r="Q33" s="690"/>
      <c r="R33" s="690"/>
      <c r="S33" s="690"/>
      <c r="T33" s="690"/>
      <c r="U33">
        <f t="shared" si="152"/>
        <v>0</v>
      </c>
      <c r="V33">
        <f t="shared" si="153"/>
        <v>0</v>
      </c>
      <c r="X33">
        <f t="shared" si="154"/>
        <v>0</v>
      </c>
      <c r="Y33">
        <f t="shared" si="155"/>
        <v>0</v>
      </c>
      <c r="Z33">
        <f t="shared" si="156"/>
        <v>0</v>
      </c>
      <c r="AA33">
        <f t="shared" si="157"/>
        <v>0</v>
      </c>
      <c r="AB33" s="25"/>
      <c r="AC33" s="25"/>
      <c r="AD33" s="25"/>
      <c r="AF33" s="48" t="s">
        <v>688</v>
      </c>
      <c r="AG33" s="689"/>
      <c r="AH33" s="689"/>
      <c r="AI33" s="48">
        <f t="shared" si="0"/>
        <v>0</v>
      </c>
      <c r="AJ33" s="48">
        <f t="shared" si="1"/>
        <v>0</v>
      </c>
      <c r="AK33" s="48">
        <f t="shared" si="2"/>
        <v>0</v>
      </c>
      <c r="AL33" s="48">
        <f t="shared" si="3"/>
        <v>0</v>
      </c>
      <c r="AM33" s="48">
        <f t="shared" si="4"/>
        <v>0</v>
      </c>
      <c r="AN33" s="48">
        <f t="shared" si="5"/>
        <v>0</v>
      </c>
      <c r="AO33" s="48">
        <f t="shared" si="6"/>
        <v>0</v>
      </c>
      <c r="AP33" s="48">
        <f t="shared" si="7"/>
        <v>0</v>
      </c>
      <c r="AQ33" s="48">
        <f t="shared" si="8"/>
        <v>0</v>
      </c>
      <c r="AR33" s="48">
        <f t="shared" si="9"/>
        <v>0</v>
      </c>
      <c r="AS33" s="48">
        <f t="shared" si="10"/>
        <v>0</v>
      </c>
      <c r="AT33" s="48">
        <f t="shared" si="11"/>
        <v>0</v>
      </c>
      <c r="AU33" s="48">
        <f t="shared" si="12"/>
        <v>0</v>
      </c>
      <c r="AV33" s="48">
        <f t="shared" si="13"/>
        <v>0</v>
      </c>
      <c r="AW33" s="48">
        <f t="shared" si="14"/>
        <v>0</v>
      </c>
      <c r="AX33" s="48">
        <f t="shared" si="15"/>
        <v>0</v>
      </c>
      <c r="AY33" s="48">
        <f t="shared" si="16"/>
        <v>0</v>
      </c>
      <c r="AZ33" s="48">
        <f t="shared" si="17"/>
        <v>0</v>
      </c>
      <c r="BA33" s="48">
        <f t="shared" si="18"/>
        <v>0</v>
      </c>
      <c r="BB33" s="48">
        <f t="shared" si="19"/>
        <v>0</v>
      </c>
      <c r="BC33" s="48">
        <f t="shared" si="20"/>
        <v>0</v>
      </c>
      <c r="BD33" s="48">
        <f t="shared" si="21"/>
        <v>0</v>
      </c>
      <c r="BE33" s="48">
        <f t="shared" si="22"/>
        <v>0</v>
      </c>
      <c r="BF33" s="48">
        <f t="shared" si="23"/>
        <v>0</v>
      </c>
      <c r="BG33" s="48">
        <f t="shared" si="24"/>
        <v>0</v>
      </c>
      <c r="BH33" s="48">
        <f t="shared" si="25"/>
        <v>0</v>
      </c>
      <c r="BI33" s="48">
        <f t="shared" si="26"/>
        <v>0</v>
      </c>
      <c r="BJ33" s="48">
        <f t="shared" si="27"/>
        <v>0</v>
      </c>
      <c r="BK33" s="48">
        <f t="shared" si="28"/>
        <v>0</v>
      </c>
      <c r="BL33" s="48">
        <f t="shared" si="29"/>
        <v>0</v>
      </c>
      <c r="BM33" s="48">
        <f t="shared" si="30"/>
        <v>0</v>
      </c>
      <c r="BN33" s="48">
        <f t="shared" si="31"/>
        <v>0</v>
      </c>
      <c r="BO33" s="48">
        <f t="shared" si="32"/>
        <v>0</v>
      </c>
      <c r="BP33" s="48">
        <f t="shared" si="33"/>
        <v>0</v>
      </c>
      <c r="BQ33" s="48">
        <f t="shared" si="34"/>
        <v>0</v>
      </c>
      <c r="BR33" s="48">
        <f t="shared" si="35"/>
        <v>0</v>
      </c>
      <c r="BS33" s="48">
        <f t="shared" si="36"/>
        <v>0</v>
      </c>
      <c r="BT33" s="48">
        <f t="shared" si="37"/>
        <v>0</v>
      </c>
      <c r="BU33" s="48">
        <f t="shared" si="38"/>
        <v>0</v>
      </c>
      <c r="BV33" s="48">
        <f t="shared" si="39"/>
        <v>0</v>
      </c>
      <c r="BW33" s="48">
        <f t="shared" si="40"/>
        <v>0</v>
      </c>
      <c r="BX33" s="48">
        <f t="shared" si="41"/>
        <v>0</v>
      </c>
      <c r="BY33" s="48">
        <f t="shared" si="42"/>
        <v>0</v>
      </c>
      <c r="BZ33" s="48">
        <f t="shared" si="43"/>
        <v>0</v>
      </c>
      <c r="CA33" s="48">
        <f t="shared" si="44"/>
        <v>0</v>
      </c>
      <c r="CB33" s="48">
        <f t="shared" si="45"/>
        <v>0</v>
      </c>
      <c r="CC33" s="48">
        <f t="shared" si="46"/>
        <v>0</v>
      </c>
      <c r="CD33" s="48">
        <f t="shared" si="47"/>
        <v>0</v>
      </c>
      <c r="CE33" s="48">
        <f t="shared" si="48"/>
        <v>0</v>
      </c>
      <c r="CF33" s="48">
        <f t="shared" si="49"/>
        <v>0</v>
      </c>
      <c r="CG33" s="48">
        <f t="shared" si="50"/>
        <v>0</v>
      </c>
      <c r="CH33" s="48">
        <f t="shared" si="51"/>
        <v>0</v>
      </c>
      <c r="CI33" s="48">
        <f t="shared" si="52"/>
        <v>0</v>
      </c>
      <c r="CJ33" s="48">
        <f t="shared" si="53"/>
        <v>0</v>
      </c>
      <c r="CK33" s="48">
        <f t="shared" si="54"/>
        <v>0</v>
      </c>
      <c r="CL33" s="48">
        <f t="shared" si="55"/>
        <v>0</v>
      </c>
      <c r="CM33" s="48">
        <f t="shared" si="56"/>
        <v>0</v>
      </c>
      <c r="CN33" s="48">
        <f t="shared" si="57"/>
        <v>0</v>
      </c>
      <c r="CO33" s="48">
        <f t="shared" si="58"/>
        <v>0</v>
      </c>
      <c r="CP33" s="48">
        <f t="shared" si="59"/>
        <v>0</v>
      </c>
      <c r="CQ33" s="48">
        <f t="shared" si="60"/>
        <v>0</v>
      </c>
      <c r="CR33" s="48">
        <f t="shared" si="61"/>
        <v>0</v>
      </c>
      <c r="CS33" s="48">
        <f t="shared" si="62"/>
        <v>0</v>
      </c>
      <c r="CT33" s="48">
        <f t="shared" si="63"/>
        <v>0</v>
      </c>
      <c r="CU33" s="48">
        <f t="shared" si="64"/>
        <v>0</v>
      </c>
      <c r="CV33" s="48">
        <f t="shared" si="65"/>
        <v>0</v>
      </c>
      <c r="CW33" s="48">
        <f t="shared" si="66"/>
        <v>0</v>
      </c>
      <c r="CX33" s="48">
        <f t="shared" si="67"/>
        <v>0</v>
      </c>
      <c r="CY33" s="48">
        <f t="shared" si="68"/>
        <v>0</v>
      </c>
      <c r="CZ33" s="48">
        <f t="shared" si="69"/>
        <v>0</v>
      </c>
      <c r="DA33" s="48">
        <f t="shared" si="70"/>
        <v>0</v>
      </c>
      <c r="DB33" s="48">
        <f t="shared" si="71"/>
        <v>0</v>
      </c>
      <c r="DC33" s="48">
        <f t="shared" si="72"/>
        <v>0</v>
      </c>
      <c r="DD33" s="48">
        <f t="shared" si="73"/>
        <v>0</v>
      </c>
      <c r="DE33" s="48">
        <f t="shared" si="74"/>
        <v>0</v>
      </c>
      <c r="DF33" s="48">
        <f t="shared" si="75"/>
        <v>0</v>
      </c>
      <c r="DG33" s="48">
        <f t="shared" si="76"/>
        <v>0</v>
      </c>
      <c r="DH33" s="48">
        <f t="shared" si="77"/>
        <v>0</v>
      </c>
      <c r="DI33" s="48">
        <f t="shared" si="78"/>
        <v>0</v>
      </c>
      <c r="DJ33" s="48">
        <f t="shared" si="79"/>
        <v>0</v>
      </c>
      <c r="DK33" s="48">
        <f t="shared" si="80"/>
        <v>0</v>
      </c>
      <c r="DL33" s="48">
        <f t="shared" si="81"/>
        <v>0</v>
      </c>
      <c r="DM33" s="48">
        <f t="shared" si="82"/>
        <v>0</v>
      </c>
      <c r="DN33" s="48">
        <f t="shared" si="83"/>
        <v>0</v>
      </c>
      <c r="DO33" s="48">
        <f t="shared" si="84"/>
        <v>0</v>
      </c>
      <c r="DP33" s="48">
        <f t="shared" si="85"/>
        <v>0</v>
      </c>
      <c r="DQ33" s="48">
        <f t="shared" si="86"/>
        <v>0</v>
      </c>
      <c r="DR33" s="48">
        <f t="shared" si="87"/>
        <v>0</v>
      </c>
      <c r="DS33" s="48">
        <f t="shared" si="88"/>
        <v>0</v>
      </c>
      <c r="DT33" s="48">
        <f t="shared" si="89"/>
        <v>0</v>
      </c>
      <c r="DU33" s="48">
        <f t="shared" si="90"/>
        <v>0</v>
      </c>
      <c r="DV33" s="48">
        <f t="shared" si="91"/>
        <v>0</v>
      </c>
      <c r="DW33" s="48">
        <f t="shared" si="92"/>
        <v>0</v>
      </c>
      <c r="DX33" s="48">
        <f t="shared" si="93"/>
        <v>0</v>
      </c>
      <c r="DY33" s="48">
        <f t="shared" si="94"/>
        <v>0</v>
      </c>
      <c r="DZ33" s="48">
        <f t="shared" si="95"/>
        <v>0</v>
      </c>
      <c r="EA33" s="48">
        <f t="shared" si="96"/>
        <v>0</v>
      </c>
      <c r="EB33" s="48">
        <f t="shared" si="97"/>
        <v>0</v>
      </c>
      <c r="EC33" s="48">
        <f t="shared" si="98"/>
        <v>0</v>
      </c>
      <c r="ED33" s="48">
        <f t="shared" si="99"/>
        <v>0</v>
      </c>
      <c r="EE33" s="48">
        <f t="shared" si="100"/>
        <v>0</v>
      </c>
      <c r="EF33" s="48">
        <f t="shared" si="101"/>
        <v>0</v>
      </c>
      <c r="EG33" s="48">
        <f t="shared" si="102"/>
        <v>0</v>
      </c>
      <c r="EH33" s="48">
        <f t="shared" si="103"/>
        <v>0</v>
      </c>
      <c r="EI33" s="48">
        <f t="shared" si="104"/>
        <v>0</v>
      </c>
      <c r="EJ33" s="48">
        <f t="shared" si="105"/>
        <v>0</v>
      </c>
      <c r="EK33" s="48">
        <f t="shared" si="106"/>
        <v>0</v>
      </c>
      <c r="EL33" s="48">
        <f t="shared" si="107"/>
        <v>0</v>
      </c>
      <c r="EM33" s="48">
        <f t="shared" si="108"/>
        <v>0</v>
      </c>
      <c r="EN33" s="48">
        <f t="shared" si="109"/>
        <v>0</v>
      </c>
      <c r="EO33" s="48">
        <f t="shared" si="110"/>
        <v>0</v>
      </c>
      <c r="EP33" s="48">
        <f t="shared" si="111"/>
        <v>0</v>
      </c>
      <c r="EQ33" s="48">
        <f t="shared" si="112"/>
        <v>0</v>
      </c>
      <c r="ER33" s="48">
        <f t="shared" si="113"/>
        <v>0</v>
      </c>
      <c r="ES33" s="48">
        <f t="shared" si="114"/>
        <v>0</v>
      </c>
      <c r="ET33" s="48">
        <f t="shared" si="115"/>
        <v>0</v>
      </c>
      <c r="EU33" s="48">
        <f t="shared" si="116"/>
        <v>0</v>
      </c>
      <c r="EV33" s="48">
        <f t="shared" si="117"/>
        <v>0</v>
      </c>
      <c r="EW33" s="48">
        <f t="shared" si="118"/>
        <v>0</v>
      </c>
      <c r="EX33" s="48">
        <f t="shared" si="119"/>
        <v>0</v>
      </c>
      <c r="EY33" s="48">
        <f t="shared" si="120"/>
        <v>0</v>
      </c>
      <c r="EZ33" s="48">
        <f t="shared" si="121"/>
        <v>0</v>
      </c>
      <c r="FA33" s="48">
        <f t="shared" si="122"/>
        <v>0</v>
      </c>
      <c r="FB33" s="48">
        <f t="shared" si="123"/>
        <v>0</v>
      </c>
      <c r="FC33" s="48">
        <f t="shared" si="124"/>
        <v>0</v>
      </c>
      <c r="FD33" s="48">
        <f t="shared" si="125"/>
        <v>0</v>
      </c>
      <c r="FE33" s="48">
        <f t="shared" si="126"/>
        <v>0</v>
      </c>
      <c r="FF33" s="48">
        <f t="shared" si="127"/>
        <v>0</v>
      </c>
      <c r="FG33" s="48">
        <f t="shared" si="128"/>
        <v>0</v>
      </c>
      <c r="FH33" s="48">
        <f t="shared" si="129"/>
        <v>0</v>
      </c>
      <c r="FI33" s="48">
        <f t="shared" si="130"/>
        <v>0</v>
      </c>
      <c r="FJ33" s="48">
        <f t="shared" si="131"/>
        <v>0</v>
      </c>
      <c r="FK33" s="48">
        <f t="shared" si="132"/>
        <v>0</v>
      </c>
      <c r="FL33" s="48">
        <f t="shared" si="133"/>
        <v>0</v>
      </c>
      <c r="FM33" s="48">
        <f t="shared" si="134"/>
        <v>0</v>
      </c>
      <c r="FN33" s="48">
        <f t="shared" si="135"/>
        <v>0</v>
      </c>
      <c r="FO33" s="48">
        <f t="shared" si="136"/>
        <v>0</v>
      </c>
      <c r="FP33" s="48">
        <f t="shared" si="137"/>
        <v>0</v>
      </c>
      <c r="FQ33" s="48">
        <f t="shared" si="138"/>
        <v>0</v>
      </c>
      <c r="FR33" s="48">
        <f t="shared" si="139"/>
        <v>0</v>
      </c>
      <c r="FS33" s="48">
        <f t="shared" si="140"/>
        <v>0</v>
      </c>
      <c r="FT33" s="48">
        <f t="shared" si="141"/>
        <v>0</v>
      </c>
      <c r="FU33" s="48">
        <f t="shared" si="142"/>
        <v>0</v>
      </c>
      <c r="FV33" s="48">
        <f t="shared" si="143"/>
        <v>0</v>
      </c>
      <c r="FW33" s="48">
        <f t="shared" si="144"/>
        <v>0</v>
      </c>
      <c r="FX33" s="48">
        <f t="shared" si="145"/>
        <v>0</v>
      </c>
      <c r="FY33" s="48">
        <f t="shared" si="146"/>
        <v>0</v>
      </c>
      <c r="FZ33" s="48">
        <f t="shared" si="147"/>
        <v>0</v>
      </c>
      <c r="GA33" s="48">
        <f t="shared" si="148"/>
        <v>0</v>
      </c>
      <c r="GB33" s="48">
        <f t="shared" si="149"/>
        <v>0</v>
      </c>
      <c r="GC33" s="48">
        <f t="shared" si="150"/>
        <v>0</v>
      </c>
      <c r="GG33">
        <f t="shared" si="151"/>
        <v>0</v>
      </c>
    </row>
    <row r="34" spans="1:189" x14ac:dyDescent="0.25">
      <c r="A34" s="690"/>
      <c r="B34" s="690"/>
      <c r="C34" s="690"/>
      <c r="D34" s="690"/>
      <c r="E34" s="690"/>
      <c r="F34" s="690"/>
      <c r="G34" s="889"/>
      <c r="H34" s="690"/>
      <c r="I34" s="690"/>
      <c r="J34" s="690"/>
      <c r="K34" s="690"/>
      <c r="L34" s="690"/>
      <c r="M34" s="690"/>
      <c r="N34" s="507" t="str">
        <f t="shared" si="159"/>
        <v/>
      </c>
      <c r="O34" s="690"/>
      <c r="P34" s="507" t="str">
        <f t="shared" si="158"/>
        <v/>
      </c>
      <c r="Q34" s="690"/>
      <c r="R34" s="690"/>
      <c r="S34" s="690"/>
      <c r="T34" s="690"/>
      <c r="U34">
        <f t="shared" si="152"/>
        <v>0</v>
      </c>
      <c r="V34">
        <f t="shared" si="153"/>
        <v>0</v>
      </c>
      <c r="X34">
        <f t="shared" si="154"/>
        <v>0</v>
      </c>
      <c r="Y34">
        <f t="shared" si="155"/>
        <v>0</v>
      </c>
      <c r="Z34">
        <f t="shared" si="156"/>
        <v>0</v>
      </c>
      <c r="AA34">
        <f t="shared" si="157"/>
        <v>0</v>
      </c>
      <c r="AB34" s="25"/>
      <c r="AC34" s="25"/>
      <c r="AD34" s="25"/>
      <c r="AF34" s="48" t="s">
        <v>689</v>
      </c>
      <c r="AG34" s="689"/>
      <c r="AH34" s="689"/>
      <c r="AI34" s="48">
        <f t="shared" si="0"/>
        <v>0</v>
      </c>
      <c r="AJ34" s="48">
        <f t="shared" si="1"/>
        <v>0</v>
      </c>
      <c r="AK34" s="48">
        <f t="shared" si="2"/>
        <v>0</v>
      </c>
      <c r="AL34" s="48">
        <f t="shared" si="3"/>
        <v>0</v>
      </c>
      <c r="AM34" s="48">
        <f t="shared" si="4"/>
        <v>0</v>
      </c>
      <c r="AN34" s="48">
        <f t="shared" si="5"/>
        <v>0</v>
      </c>
      <c r="AO34" s="48">
        <f t="shared" si="6"/>
        <v>0</v>
      </c>
      <c r="AP34" s="48">
        <f t="shared" si="7"/>
        <v>0</v>
      </c>
      <c r="AQ34" s="48">
        <f t="shared" si="8"/>
        <v>0</v>
      </c>
      <c r="AR34" s="48">
        <f t="shared" si="9"/>
        <v>0</v>
      </c>
      <c r="AS34" s="48">
        <f t="shared" si="10"/>
        <v>0</v>
      </c>
      <c r="AT34" s="48">
        <f t="shared" si="11"/>
        <v>0</v>
      </c>
      <c r="AU34" s="48">
        <f t="shared" si="12"/>
        <v>0</v>
      </c>
      <c r="AV34" s="48">
        <f t="shared" si="13"/>
        <v>0</v>
      </c>
      <c r="AW34" s="48">
        <f t="shared" si="14"/>
        <v>0</v>
      </c>
      <c r="AX34" s="48">
        <f t="shared" si="15"/>
        <v>0</v>
      </c>
      <c r="AY34" s="48">
        <f t="shared" si="16"/>
        <v>0</v>
      </c>
      <c r="AZ34" s="48">
        <f t="shared" si="17"/>
        <v>0</v>
      </c>
      <c r="BA34" s="48">
        <f t="shared" si="18"/>
        <v>0</v>
      </c>
      <c r="BB34" s="48">
        <f t="shared" si="19"/>
        <v>0</v>
      </c>
      <c r="BC34" s="48">
        <f t="shared" si="20"/>
        <v>0</v>
      </c>
      <c r="BD34" s="48">
        <f t="shared" si="21"/>
        <v>0</v>
      </c>
      <c r="BE34" s="48">
        <f t="shared" si="22"/>
        <v>0</v>
      </c>
      <c r="BF34" s="48">
        <f t="shared" si="23"/>
        <v>0</v>
      </c>
      <c r="BG34" s="48">
        <f t="shared" si="24"/>
        <v>0</v>
      </c>
      <c r="BH34" s="48">
        <f t="shared" si="25"/>
        <v>0</v>
      </c>
      <c r="BI34" s="48">
        <f t="shared" si="26"/>
        <v>0</v>
      </c>
      <c r="BJ34" s="48">
        <f t="shared" si="27"/>
        <v>0</v>
      </c>
      <c r="BK34" s="48">
        <f t="shared" si="28"/>
        <v>0</v>
      </c>
      <c r="BL34" s="48">
        <f t="shared" si="29"/>
        <v>0</v>
      </c>
      <c r="BM34" s="48">
        <f t="shared" si="30"/>
        <v>0</v>
      </c>
      <c r="BN34" s="48">
        <f t="shared" si="31"/>
        <v>0</v>
      </c>
      <c r="BO34" s="48">
        <f t="shared" si="32"/>
        <v>0</v>
      </c>
      <c r="BP34" s="48">
        <f t="shared" si="33"/>
        <v>0</v>
      </c>
      <c r="BQ34" s="48">
        <f t="shared" si="34"/>
        <v>0</v>
      </c>
      <c r="BR34" s="48">
        <f t="shared" si="35"/>
        <v>0</v>
      </c>
      <c r="BS34" s="48">
        <f t="shared" si="36"/>
        <v>0</v>
      </c>
      <c r="BT34" s="48">
        <f t="shared" si="37"/>
        <v>0</v>
      </c>
      <c r="BU34" s="48">
        <f t="shared" si="38"/>
        <v>0</v>
      </c>
      <c r="BV34" s="48">
        <f t="shared" si="39"/>
        <v>0</v>
      </c>
      <c r="BW34" s="48">
        <f t="shared" si="40"/>
        <v>0</v>
      </c>
      <c r="BX34" s="48">
        <f t="shared" si="41"/>
        <v>0</v>
      </c>
      <c r="BY34" s="48">
        <f t="shared" si="42"/>
        <v>0</v>
      </c>
      <c r="BZ34" s="48">
        <f t="shared" si="43"/>
        <v>0</v>
      </c>
      <c r="CA34" s="48">
        <f t="shared" si="44"/>
        <v>0</v>
      </c>
      <c r="CB34" s="48">
        <f t="shared" si="45"/>
        <v>0</v>
      </c>
      <c r="CC34" s="48">
        <f t="shared" si="46"/>
        <v>0</v>
      </c>
      <c r="CD34" s="48">
        <f t="shared" si="47"/>
        <v>0</v>
      </c>
      <c r="CE34" s="48">
        <f t="shared" si="48"/>
        <v>0</v>
      </c>
      <c r="CF34" s="48">
        <f t="shared" si="49"/>
        <v>0</v>
      </c>
      <c r="CG34" s="48">
        <f t="shared" si="50"/>
        <v>0</v>
      </c>
      <c r="CH34" s="48">
        <f t="shared" si="51"/>
        <v>0</v>
      </c>
      <c r="CI34" s="48">
        <f t="shared" si="52"/>
        <v>0</v>
      </c>
      <c r="CJ34" s="48">
        <f t="shared" si="53"/>
        <v>0</v>
      </c>
      <c r="CK34" s="48">
        <f t="shared" si="54"/>
        <v>0</v>
      </c>
      <c r="CL34" s="48">
        <f t="shared" si="55"/>
        <v>0</v>
      </c>
      <c r="CM34" s="48">
        <f t="shared" si="56"/>
        <v>0</v>
      </c>
      <c r="CN34" s="48">
        <f t="shared" si="57"/>
        <v>0</v>
      </c>
      <c r="CO34" s="48">
        <f t="shared" si="58"/>
        <v>0</v>
      </c>
      <c r="CP34" s="48">
        <f t="shared" si="59"/>
        <v>0</v>
      </c>
      <c r="CQ34" s="48">
        <f t="shared" si="60"/>
        <v>0</v>
      </c>
      <c r="CR34" s="48">
        <f t="shared" si="61"/>
        <v>0</v>
      </c>
      <c r="CS34" s="48">
        <f t="shared" si="62"/>
        <v>0</v>
      </c>
      <c r="CT34" s="48">
        <f t="shared" si="63"/>
        <v>0</v>
      </c>
      <c r="CU34" s="48">
        <f t="shared" si="64"/>
        <v>0</v>
      </c>
      <c r="CV34" s="48">
        <f t="shared" si="65"/>
        <v>0</v>
      </c>
      <c r="CW34" s="48">
        <f t="shared" si="66"/>
        <v>0</v>
      </c>
      <c r="CX34" s="48">
        <f t="shared" si="67"/>
        <v>0</v>
      </c>
      <c r="CY34" s="48">
        <f t="shared" si="68"/>
        <v>0</v>
      </c>
      <c r="CZ34" s="48">
        <f t="shared" si="69"/>
        <v>0</v>
      </c>
      <c r="DA34" s="48">
        <f t="shared" si="70"/>
        <v>0</v>
      </c>
      <c r="DB34" s="48">
        <f t="shared" si="71"/>
        <v>0</v>
      </c>
      <c r="DC34" s="48">
        <f t="shared" si="72"/>
        <v>0</v>
      </c>
      <c r="DD34" s="48">
        <f t="shared" si="73"/>
        <v>0</v>
      </c>
      <c r="DE34" s="48">
        <f t="shared" si="74"/>
        <v>0</v>
      </c>
      <c r="DF34" s="48">
        <f t="shared" si="75"/>
        <v>0</v>
      </c>
      <c r="DG34" s="48">
        <f t="shared" si="76"/>
        <v>0</v>
      </c>
      <c r="DH34" s="48">
        <f t="shared" si="77"/>
        <v>0</v>
      </c>
      <c r="DI34" s="48">
        <f t="shared" si="78"/>
        <v>0</v>
      </c>
      <c r="DJ34" s="48">
        <f t="shared" si="79"/>
        <v>0</v>
      </c>
      <c r="DK34" s="48">
        <f t="shared" si="80"/>
        <v>0</v>
      </c>
      <c r="DL34" s="48">
        <f t="shared" si="81"/>
        <v>0</v>
      </c>
      <c r="DM34" s="48">
        <f t="shared" si="82"/>
        <v>0</v>
      </c>
      <c r="DN34" s="48">
        <f t="shared" si="83"/>
        <v>0</v>
      </c>
      <c r="DO34" s="48">
        <f t="shared" si="84"/>
        <v>0</v>
      </c>
      <c r="DP34" s="48">
        <f t="shared" si="85"/>
        <v>0</v>
      </c>
      <c r="DQ34" s="48">
        <f t="shared" si="86"/>
        <v>0</v>
      </c>
      <c r="DR34" s="48">
        <f t="shared" si="87"/>
        <v>0</v>
      </c>
      <c r="DS34" s="48">
        <f t="shared" si="88"/>
        <v>0</v>
      </c>
      <c r="DT34" s="48">
        <f t="shared" si="89"/>
        <v>0</v>
      </c>
      <c r="DU34" s="48">
        <f t="shared" si="90"/>
        <v>0</v>
      </c>
      <c r="DV34" s="48">
        <f t="shared" si="91"/>
        <v>0</v>
      </c>
      <c r="DW34" s="48">
        <f t="shared" si="92"/>
        <v>0</v>
      </c>
      <c r="DX34" s="48">
        <f t="shared" si="93"/>
        <v>0</v>
      </c>
      <c r="DY34" s="48">
        <f t="shared" si="94"/>
        <v>0</v>
      </c>
      <c r="DZ34" s="48">
        <f t="shared" si="95"/>
        <v>0</v>
      </c>
      <c r="EA34" s="48">
        <f t="shared" si="96"/>
        <v>0</v>
      </c>
      <c r="EB34" s="48">
        <f t="shared" si="97"/>
        <v>0</v>
      </c>
      <c r="EC34" s="48">
        <f t="shared" si="98"/>
        <v>0</v>
      </c>
      <c r="ED34" s="48">
        <f t="shared" si="99"/>
        <v>0</v>
      </c>
      <c r="EE34" s="48">
        <f t="shared" si="100"/>
        <v>0</v>
      </c>
      <c r="EF34" s="48">
        <f t="shared" si="101"/>
        <v>0</v>
      </c>
      <c r="EG34" s="48">
        <f t="shared" si="102"/>
        <v>0</v>
      </c>
      <c r="EH34" s="48">
        <f t="shared" si="103"/>
        <v>0</v>
      </c>
      <c r="EI34" s="48">
        <f t="shared" si="104"/>
        <v>0</v>
      </c>
      <c r="EJ34" s="48">
        <f t="shared" si="105"/>
        <v>0</v>
      </c>
      <c r="EK34" s="48">
        <f t="shared" si="106"/>
        <v>0</v>
      </c>
      <c r="EL34" s="48">
        <f t="shared" si="107"/>
        <v>0</v>
      </c>
      <c r="EM34" s="48">
        <f t="shared" si="108"/>
        <v>0</v>
      </c>
      <c r="EN34" s="48">
        <f t="shared" si="109"/>
        <v>0</v>
      </c>
      <c r="EO34" s="48">
        <f t="shared" si="110"/>
        <v>0</v>
      </c>
      <c r="EP34" s="48">
        <f t="shared" si="111"/>
        <v>0</v>
      </c>
      <c r="EQ34" s="48">
        <f t="shared" si="112"/>
        <v>0</v>
      </c>
      <c r="ER34" s="48">
        <f t="shared" si="113"/>
        <v>0</v>
      </c>
      <c r="ES34" s="48">
        <f t="shared" si="114"/>
        <v>0</v>
      </c>
      <c r="ET34" s="48">
        <f t="shared" si="115"/>
        <v>0</v>
      </c>
      <c r="EU34" s="48">
        <f t="shared" si="116"/>
        <v>0</v>
      </c>
      <c r="EV34" s="48">
        <f t="shared" si="117"/>
        <v>0</v>
      </c>
      <c r="EW34" s="48">
        <f t="shared" si="118"/>
        <v>0</v>
      </c>
      <c r="EX34" s="48">
        <f t="shared" si="119"/>
        <v>0</v>
      </c>
      <c r="EY34" s="48">
        <f t="shared" si="120"/>
        <v>0</v>
      </c>
      <c r="EZ34" s="48">
        <f t="shared" si="121"/>
        <v>0</v>
      </c>
      <c r="FA34" s="48">
        <f t="shared" si="122"/>
        <v>0</v>
      </c>
      <c r="FB34" s="48">
        <f t="shared" si="123"/>
        <v>0</v>
      </c>
      <c r="FC34" s="48">
        <f t="shared" si="124"/>
        <v>0</v>
      </c>
      <c r="FD34" s="48">
        <f t="shared" si="125"/>
        <v>0</v>
      </c>
      <c r="FE34" s="48">
        <f t="shared" si="126"/>
        <v>0</v>
      </c>
      <c r="FF34" s="48">
        <f t="shared" si="127"/>
        <v>0</v>
      </c>
      <c r="FG34" s="48">
        <f t="shared" si="128"/>
        <v>0</v>
      </c>
      <c r="FH34" s="48">
        <f t="shared" si="129"/>
        <v>0</v>
      </c>
      <c r="FI34" s="48">
        <f t="shared" si="130"/>
        <v>0</v>
      </c>
      <c r="FJ34" s="48">
        <f t="shared" si="131"/>
        <v>0</v>
      </c>
      <c r="FK34" s="48">
        <f t="shared" si="132"/>
        <v>0</v>
      </c>
      <c r="FL34" s="48">
        <f t="shared" si="133"/>
        <v>0</v>
      </c>
      <c r="FM34" s="48">
        <f t="shared" si="134"/>
        <v>0</v>
      </c>
      <c r="FN34" s="48">
        <f t="shared" si="135"/>
        <v>0</v>
      </c>
      <c r="FO34" s="48">
        <f t="shared" si="136"/>
        <v>0</v>
      </c>
      <c r="FP34" s="48">
        <f t="shared" si="137"/>
        <v>0</v>
      </c>
      <c r="FQ34" s="48">
        <f t="shared" si="138"/>
        <v>0</v>
      </c>
      <c r="FR34" s="48">
        <f t="shared" si="139"/>
        <v>0</v>
      </c>
      <c r="FS34" s="48">
        <f t="shared" si="140"/>
        <v>0</v>
      </c>
      <c r="FT34" s="48">
        <f t="shared" si="141"/>
        <v>0</v>
      </c>
      <c r="FU34" s="48">
        <f t="shared" si="142"/>
        <v>0</v>
      </c>
      <c r="FV34" s="48">
        <f t="shared" si="143"/>
        <v>0</v>
      </c>
      <c r="FW34" s="48">
        <f t="shared" si="144"/>
        <v>0</v>
      </c>
      <c r="FX34" s="48">
        <f t="shared" si="145"/>
        <v>0</v>
      </c>
      <c r="FY34" s="48">
        <f t="shared" si="146"/>
        <v>0</v>
      </c>
      <c r="FZ34" s="48">
        <f t="shared" si="147"/>
        <v>0</v>
      </c>
      <c r="GA34" s="48">
        <f t="shared" si="148"/>
        <v>0</v>
      </c>
      <c r="GB34" s="48">
        <f t="shared" si="149"/>
        <v>0</v>
      </c>
      <c r="GC34" s="48">
        <f t="shared" si="150"/>
        <v>0</v>
      </c>
      <c r="GG34">
        <f t="shared" si="151"/>
        <v>0</v>
      </c>
    </row>
    <row r="35" spans="1:189" x14ac:dyDescent="0.25">
      <c r="A35" s="690"/>
      <c r="B35" s="690"/>
      <c r="C35" s="690"/>
      <c r="D35" s="690"/>
      <c r="E35" s="690"/>
      <c r="F35" s="690"/>
      <c r="G35" s="889"/>
      <c r="H35" s="690"/>
      <c r="I35" s="690"/>
      <c r="J35" s="690"/>
      <c r="K35" s="690"/>
      <c r="L35" s="690"/>
      <c r="M35" s="690"/>
      <c r="N35" s="507" t="str">
        <f t="shared" si="159"/>
        <v/>
      </c>
      <c r="O35" s="690"/>
      <c r="P35" s="507" t="str">
        <f t="shared" si="158"/>
        <v/>
      </c>
      <c r="Q35" s="690"/>
      <c r="R35" s="690"/>
      <c r="S35" s="690"/>
      <c r="T35" s="690"/>
      <c r="U35">
        <f t="shared" si="152"/>
        <v>0</v>
      </c>
      <c r="V35">
        <f t="shared" si="153"/>
        <v>0</v>
      </c>
      <c r="X35">
        <f t="shared" si="154"/>
        <v>0</v>
      </c>
      <c r="Y35">
        <f t="shared" si="155"/>
        <v>0</v>
      </c>
      <c r="Z35">
        <f t="shared" si="156"/>
        <v>0</v>
      </c>
      <c r="AA35">
        <f t="shared" si="157"/>
        <v>0</v>
      </c>
      <c r="AB35" s="25"/>
      <c r="AC35" s="25"/>
      <c r="AD35" s="25"/>
      <c r="AF35" s="48" t="s">
        <v>690</v>
      </c>
      <c r="AG35" s="689"/>
      <c r="AH35" s="689"/>
      <c r="AI35" s="48">
        <f t="shared" si="0"/>
        <v>0</v>
      </c>
      <c r="AJ35" s="48">
        <f t="shared" si="1"/>
        <v>0</v>
      </c>
      <c r="AK35" s="48">
        <f t="shared" si="2"/>
        <v>0</v>
      </c>
      <c r="AL35" s="48">
        <f t="shared" si="3"/>
        <v>0</v>
      </c>
      <c r="AM35" s="48">
        <f t="shared" si="4"/>
        <v>0</v>
      </c>
      <c r="AN35" s="48">
        <f t="shared" si="5"/>
        <v>0</v>
      </c>
      <c r="AO35" s="48">
        <f t="shared" si="6"/>
        <v>0</v>
      </c>
      <c r="AP35" s="48">
        <f t="shared" si="7"/>
        <v>0</v>
      </c>
      <c r="AQ35" s="48">
        <f t="shared" si="8"/>
        <v>0</v>
      </c>
      <c r="AR35" s="48">
        <f t="shared" si="9"/>
        <v>0</v>
      </c>
      <c r="AS35" s="48">
        <f t="shared" si="10"/>
        <v>0</v>
      </c>
      <c r="AT35" s="48">
        <f t="shared" si="11"/>
        <v>0</v>
      </c>
      <c r="AU35" s="48">
        <f t="shared" si="12"/>
        <v>0</v>
      </c>
      <c r="AV35" s="48">
        <f t="shared" si="13"/>
        <v>0</v>
      </c>
      <c r="AW35" s="48">
        <f t="shared" si="14"/>
        <v>0</v>
      </c>
      <c r="AX35" s="48">
        <f t="shared" si="15"/>
        <v>0</v>
      </c>
      <c r="AY35" s="48">
        <f t="shared" si="16"/>
        <v>0</v>
      </c>
      <c r="AZ35" s="48">
        <f t="shared" si="17"/>
        <v>0</v>
      </c>
      <c r="BA35" s="48">
        <f t="shared" si="18"/>
        <v>0</v>
      </c>
      <c r="BB35" s="48">
        <f t="shared" si="19"/>
        <v>0</v>
      </c>
      <c r="BC35" s="48">
        <f t="shared" si="20"/>
        <v>0</v>
      </c>
      <c r="BD35" s="48">
        <f t="shared" si="21"/>
        <v>0</v>
      </c>
      <c r="BE35" s="48">
        <f t="shared" si="22"/>
        <v>0</v>
      </c>
      <c r="BF35" s="48">
        <f t="shared" si="23"/>
        <v>0</v>
      </c>
      <c r="BG35" s="48">
        <f t="shared" si="24"/>
        <v>0</v>
      </c>
      <c r="BH35" s="48">
        <f t="shared" si="25"/>
        <v>0</v>
      </c>
      <c r="BI35" s="48">
        <f t="shared" si="26"/>
        <v>0</v>
      </c>
      <c r="BJ35" s="48">
        <f t="shared" si="27"/>
        <v>0</v>
      </c>
      <c r="BK35" s="48">
        <f t="shared" si="28"/>
        <v>0</v>
      </c>
      <c r="BL35" s="48">
        <f t="shared" si="29"/>
        <v>0</v>
      </c>
      <c r="BM35" s="48">
        <f t="shared" si="30"/>
        <v>0</v>
      </c>
      <c r="BN35" s="48">
        <f t="shared" si="31"/>
        <v>0</v>
      </c>
      <c r="BO35" s="48">
        <f t="shared" si="32"/>
        <v>0</v>
      </c>
      <c r="BP35" s="48">
        <f t="shared" si="33"/>
        <v>0</v>
      </c>
      <c r="BQ35" s="48">
        <f t="shared" si="34"/>
        <v>0</v>
      </c>
      <c r="BR35" s="48">
        <f t="shared" si="35"/>
        <v>0</v>
      </c>
      <c r="BS35" s="48">
        <f t="shared" si="36"/>
        <v>0</v>
      </c>
      <c r="BT35" s="48">
        <f t="shared" si="37"/>
        <v>0</v>
      </c>
      <c r="BU35" s="48">
        <f t="shared" si="38"/>
        <v>0</v>
      </c>
      <c r="BV35" s="48">
        <f t="shared" si="39"/>
        <v>0</v>
      </c>
      <c r="BW35" s="48">
        <f t="shared" si="40"/>
        <v>0</v>
      </c>
      <c r="BX35" s="48">
        <f t="shared" si="41"/>
        <v>0</v>
      </c>
      <c r="BY35" s="48">
        <f t="shared" si="42"/>
        <v>0</v>
      </c>
      <c r="BZ35" s="48">
        <f t="shared" si="43"/>
        <v>0</v>
      </c>
      <c r="CA35" s="48">
        <f t="shared" si="44"/>
        <v>0</v>
      </c>
      <c r="CB35" s="48">
        <f t="shared" si="45"/>
        <v>0</v>
      </c>
      <c r="CC35" s="48">
        <f t="shared" si="46"/>
        <v>0</v>
      </c>
      <c r="CD35" s="48">
        <f t="shared" si="47"/>
        <v>0</v>
      </c>
      <c r="CE35" s="48">
        <f t="shared" si="48"/>
        <v>0</v>
      </c>
      <c r="CF35" s="48">
        <f t="shared" si="49"/>
        <v>0</v>
      </c>
      <c r="CG35" s="48">
        <f t="shared" si="50"/>
        <v>0</v>
      </c>
      <c r="CH35" s="48">
        <f t="shared" si="51"/>
        <v>0</v>
      </c>
      <c r="CI35" s="48">
        <f t="shared" si="52"/>
        <v>0</v>
      </c>
      <c r="CJ35" s="48">
        <f t="shared" si="53"/>
        <v>0</v>
      </c>
      <c r="CK35" s="48">
        <f t="shared" si="54"/>
        <v>0</v>
      </c>
      <c r="CL35" s="48">
        <f t="shared" si="55"/>
        <v>0</v>
      </c>
      <c r="CM35" s="48">
        <f t="shared" si="56"/>
        <v>0</v>
      </c>
      <c r="CN35" s="48">
        <f t="shared" si="57"/>
        <v>0</v>
      </c>
      <c r="CO35" s="48">
        <f t="shared" si="58"/>
        <v>0</v>
      </c>
      <c r="CP35" s="48">
        <f t="shared" si="59"/>
        <v>0</v>
      </c>
      <c r="CQ35" s="48">
        <f t="shared" si="60"/>
        <v>0</v>
      </c>
      <c r="CR35" s="48">
        <f t="shared" si="61"/>
        <v>0</v>
      </c>
      <c r="CS35" s="48">
        <f t="shared" si="62"/>
        <v>0</v>
      </c>
      <c r="CT35" s="48">
        <f t="shared" si="63"/>
        <v>0</v>
      </c>
      <c r="CU35" s="48">
        <f t="shared" si="64"/>
        <v>0</v>
      </c>
      <c r="CV35" s="48">
        <f t="shared" si="65"/>
        <v>0</v>
      </c>
      <c r="CW35" s="48">
        <f t="shared" si="66"/>
        <v>0</v>
      </c>
      <c r="CX35" s="48">
        <f t="shared" si="67"/>
        <v>0</v>
      </c>
      <c r="CY35" s="48">
        <f t="shared" si="68"/>
        <v>0</v>
      </c>
      <c r="CZ35" s="48">
        <f t="shared" si="69"/>
        <v>0</v>
      </c>
      <c r="DA35" s="48">
        <f t="shared" si="70"/>
        <v>0</v>
      </c>
      <c r="DB35" s="48">
        <f t="shared" si="71"/>
        <v>0</v>
      </c>
      <c r="DC35" s="48">
        <f t="shared" si="72"/>
        <v>0</v>
      </c>
      <c r="DD35" s="48">
        <f t="shared" si="73"/>
        <v>0</v>
      </c>
      <c r="DE35" s="48">
        <f t="shared" si="74"/>
        <v>0</v>
      </c>
      <c r="DF35" s="48">
        <f t="shared" si="75"/>
        <v>0</v>
      </c>
      <c r="DG35" s="48">
        <f t="shared" si="76"/>
        <v>0</v>
      </c>
      <c r="DH35" s="48">
        <f t="shared" si="77"/>
        <v>0</v>
      </c>
      <c r="DI35" s="48">
        <f t="shared" si="78"/>
        <v>0</v>
      </c>
      <c r="DJ35" s="48">
        <f t="shared" si="79"/>
        <v>0</v>
      </c>
      <c r="DK35" s="48">
        <f t="shared" si="80"/>
        <v>0</v>
      </c>
      <c r="DL35" s="48">
        <f t="shared" si="81"/>
        <v>0</v>
      </c>
      <c r="DM35" s="48">
        <f t="shared" si="82"/>
        <v>0</v>
      </c>
      <c r="DN35" s="48">
        <f t="shared" si="83"/>
        <v>0</v>
      </c>
      <c r="DO35" s="48">
        <f t="shared" si="84"/>
        <v>0</v>
      </c>
      <c r="DP35" s="48">
        <f t="shared" si="85"/>
        <v>0</v>
      </c>
      <c r="DQ35" s="48">
        <f t="shared" si="86"/>
        <v>0</v>
      </c>
      <c r="DR35" s="48">
        <f t="shared" si="87"/>
        <v>0</v>
      </c>
      <c r="DS35" s="48">
        <f t="shared" si="88"/>
        <v>0</v>
      </c>
      <c r="DT35" s="48">
        <f t="shared" si="89"/>
        <v>0</v>
      </c>
      <c r="DU35" s="48">
        <f t="shared" si="90"/>
        <v>0</v>
      </c>
      <c r="DV35" s="48">
        <f t="shared" si="91"/>
        <v>0</v>
      </c>
      <c r="DW35" s="48">
        <f t="shared" si="92"/>
        <v>0</v>
      </c>
      <c r="DX35" s="48">
        <f t="shared" si="93"/>
        <v>0</v>
      </c>
      <c r="DY35" s="48">
        <f t="shared" si="94"/>
        <v>0</v>
      </c>
      <c r="DZ35" s="48">
        <f t="shared" si="95"/>
        <v>0</v>
      </c>
      <c r="EA35" s="48">
        <f t="shared" si="96"/>
        <v>0</v>
      </c>
      <c r="EB35" s="48">
        <f t="shared" si="97"/>
        <v>0</v>
      </c>
      <c r="EC35" s="48">
        <f t="shared" si="98"/>
        <v>0</v>
      </c>
      <c r="ED35" s="48">
        <f t="shared" si="99"/>
        <v>0</v>
      </c>
      <c r="EE35" s="48">
        <f t="shared" si="100"/>
        <v>0</v>
      </c>
      <c r="EF35" s="48">
        <f t="shared" si="101"/>
        <v>0</v>
      </c>
      <c r="EG35" s="48">
        <f t="shared" si="102"/>
        <v>0</v>
      </c>
      <c r="EH35" s="48">
        <f t="shared" si="103"/>
        <v>0</v>
      </c>
      <c r="EI35" s="48">
        <f t="shared" si="104"/>
        <v>0</v>
      </c>
      <c r="EJ35" s="48">
        <f t="shared" si="105"/>
        <v>0</v>
      </c>
      <c r="EK35" s="48">
        <f t="shared" si="106"/>
        <v>0</v>
      </c>
      <c r="EL35" s="48">
        <f t="shared" si="107"/>
        <v>0</v>
      </c>
      <c r="EM35" s="48">
        <f t="shared" si="108"/>
        <v>0</v>
      </c>
      <c r="EN35" s="48">
        <f t="shared" si="109"/>
        <v>0</v>
      </c>
      <c r="EO35" s="48">
        <f t="shared" si="110"/>
        <v>0</v>
      </c>
      <c r="EP35" s="48">
        <f t="shared" si="111"/>
        <v>0</v>
      </c>
      <c r="EQ35" s="48">
        <f t="shared" si="112"/>
        <v>0</v>
      </c>
      <c r="ER35" s="48">
        <f t="shared" si="113"/>
        <v>0</v>
      </c>
      <c r="ES35" s="48">
        <f t="shared" si="114"/>
        <v>0</v>
      </c>
      <c r="ET35" s="48">
        <f t="shared" si="115"/>
        <v>0</v>
      </c>
      <c r="EU35" s="48">
        <f t="shared" si="116"/>
        <v>0</v>
      </c>
      <c r="EV35" s="48">
        <f t="shared" si="117"/>
        <v>0</v>
      </c>
      <c r="EW35" s="48">
        <f t="shared" si="118"/>
        <v>0</v>
      </c>
      <c r="EX35" s="48">
        <f t="shared" si="119"/>
        <v>0</v>
      </c>
      <c r="EY35" s="48">
        <f t="shared" si="120"/>
        <v>0</v>
      </c>
      <c r="EZ35" s="48">
        <f t="shared" si="121"/>
        <v>0</v>
      </c>
      <c r="FA35" s="48">
        <f t="shared" si="122"/>
        <v>0</v>
      </c>
      <c r="FB35" s="48">
        <f t="shared" si="123"/>
        <v>0</v>
      </c>
      <c r="FC35" s="48">
        <f t="shared" si="124"/>
        <v>0</v>
      </c>
      <c r="FD35" s="48">
        <f t="shared" si="125"/>
        <v>0</v>
      </c>
      <c r="FE35" s="48">
        <f t="shared" si="126"/>
        <v>0</v>
      </c>
      <c r="FF35" s="48">
        <f t="shared" si="127"/>
        <v>0</v>
      </c>
      <c r="FG35" s="48">
        <f t="shared" si="128"/>
        <v>0</v>
      </c>
      <c r="FH35" s="48">
        <f t="shared" si="129"/>
        <v>0</v>
      </c>
      <c r="FI35" s="48">
        <f t="shared" si="130"/>
        <v>0</v>
      </c>
      <c r="FJ35" s="48">
        <f t="shared" si="131"/>
        <v>0</v>
      </c>
      <c r="FK35" s="48">
        <f t="shared" si="132"/>
        <v>0</v>
      </c>
      <c r="FL35" s="48">
        <f t="shared" si="133"/>
        <v>0</v>
      </c>
      <c r="FM35" s="48">
        <f t="shared" si="134"/>
        <v>0</v>
      </c>
      <c r="FN35" s="48">
        <f t="shared" si="135"/>
        <v>0</v>
      </c>
      <c r="FO35" s="48">
        <f t="shared" si="136"/>
        <v>0</v>
      </c>
      <c r="FP35" s="48">
        <f t="shared" si="137"/>
        <v>0</v>
      </c>
      <c r="FQ35" s="48">
        <f t="shared" si="138"/>
        <v>0</v>
      </c>
      <c r="FR35" s="48">
        <f t="shared" si="139"/>
        <v>0</v>
      </c>
      <c r="FS35" s="48">
        <f t="shared" si="140"/>
        <v>0</v>
      </c>
      <c r="FT35" s="48">
        <f t="shared" si="141"/>
        <v>0</v>
      </c>
      <c r="FU35" s="48">
        <f t="shared" si="142"/>
        <v>0</v>
      </c>
      <c r="FV35" s="48">
        <f t="shared" si="143"/>
        <v>0</v>
      </c>
      <c r="FW35" s="48">
        <f t="shared" si="144"/>
        <v>0</v>
      </c>
      <c r="FX35" s="48">
        <f t="shared" si="145"/>
        <v>0</v>
      </c>
      <c r="FY35" s="48">
        <f t="shared" si="146"/>
        <v>0</v>
      </c>
      <c r="FZ35" s="48">
        <f t="shared" si="147"/>
        <v>0</v>
      </c>
      <c r="GA35" s="48">
        <f t="shared" si="148"/>
        <v>0</v>
      </c>
      <c r="GB35" s="48">
        <f t="shared" si="149"/>
        <v>0</v>
      </c>
      <c r="GC35" s="48">
        <f t="shared" si="150"/>
        <v>0</v>
      </c>
      <c r="GG35">
        <f t="shared" si="151"/>
        <v>0</v>
      </c>
    </row>
    <row r="36" spans="1:189" x14ac:dyDescent="0.25">
      <c r="A36" s="690"/>
      <c r="B36" s="690"/>
      <c r="C36" s="690"/>
      <c r="D36" s="690"/>
      <c r="E36" s="690"/>
      <c r="F36" s="690"/>
      <c r="G36" s="889"/>
      <c r="H36" s="690"/>
      <c r="I36" s="690"/>
      <c r="J36" s="690"/>
      <c r="K36" s="690"/>
      <c r="L36" s="690"/>
      <c r="M36" s="690"/>
      <c r="N36" s="507" t="str">
        <f t="shared" si="159"/>
        <v/>
      </c>
      <c r="O36" s="690"/>
      <c r="P36" s="507" t="str">
        <f t="shared" si="158"/>
        <v/>
      </c>
      <c r="Q36" s="690"/>
      <c r="R36" s="690"/>
      <c r="S36" s="690"/>
      <c r="T36" s="690"/>
      <c r="U36">
        <f t="shared" si="152"/>
        <v>0</v>
      </c>
      <c r="V36">
        <f t="shared" si="153"/>
        <v>0</v>
      </c>
      <c r="X36">
        <f t="shared" si="154"/>
        <v>0</v>
      </c>
      <c r="Y36">
        <f t="shared" si="155"/>
        <v>0</v>
      </c>
      <c r="Z36">
        <f t="shared" si="156"/>
        <v>0</v>
      </c>
      <c r="AA36">
        <f t="shared" si="157"/>
        <v>0</v>
      </c>
      <c r="AB36" s="25"/>
      <c r="AC36" s="25"/>
      <c r="AD36" s="25"/>
      <c r="AF36" s="48" t="s">
        <v>691</v>
      </c>
      <c r="AG36" s="689"/>
      <c r="AH36" s="689"/>
      <c r="AI36" s="48">
        <f t="shared" si="0"/>
        <v>0</v>
      </c>
      <c r="AJ36" s="48">
        <f t="shared" si="1"/>
        <v>0</v>
      </c>
      <c r="AK36" s="48">
        <f t="shared" si="2"/>
        <v>0</v>
      </c>
      <c r="AL36" s="48">
        <f t="shared" si="3"/>
        <v>0</v>
      </c>
      <c r="AM36" s="48">
        <f t="shared" si="4"/>
        <v>0</v>
      </c>
      <c r="AN36" s="48">
        <f t="shared" si="5"/>
        <v>0</v>
      </c>
      <c r="AO36" s="48">
        <f t="shared" si="6"/>
        <v>0</v>
      </c>
      <c r="AP36" s="48">
        <f t="shared" si="7"/>
        <v>0</v>
      </c>
      <c r="AQ36" s="48">
        <f t="shared" si="8"/>
        <v>0</v>
      </c>
      <c r="AR36" s="48">
        <f t="shared" si="9"/>
        <v>0</v>
      </c>
      <c r="AS36" s="48">
        <f t="shared" si="10"/>
        <v>0</v>
      </c>
      <c r="AT36" s="48">
        <f t="shared" si="11"/>
        <v>0</v>
      </c>
      <c r="AU36" s="48">
        <f t="shared" si="12"/>
        <v>0</v>
      </c>
      <c r="AV36" s="48">
        <f t="shared" si="13"/>
        <v>0</v>
      </c>
      <c r="AW36" s="48">
        <f t="shared" si="14"/>
        <v>0</v>
      </c>
      <c r="AX36" s="48">
        <f t="shared" si="15"/>
        <v>0</v>
      </c>
      <c r="AY36" s="48">
        <f t="shared" si="16"/>
        <v>0</v>
      </c>
      <c r="AZ36" s="48">
        <f t="shared" si="17"/>
        <v>0</v>
      </c>
      <c r="BA36" s="48">
        <f t="shared" si="18"/>
        <v>0</v>
      </c>
      <c r="BB36" s="48">
        <f t="shared" si="19"/>
        <v>0</v>
      </c>
      <c r="BC36" s="48">
        <f t="shared" si="20"/>
        <v>0</v>
      </c>
      <c r="BD36" s="48">
        <f t="shared" si="21"/>
        <v>0</v>
      </c>
      <c r="BE36" s="48">
        <f t="shared" si="22"/>
        <v>0</v>
      </c>
      <c r="BF36" s="48">
        <f t="shared" si="23"/>
        <v>0</v>
      </c>
      <c r="BG36" s="48">
        <f t="shared" si="24"/>
        <v>0</v>
      </c>
      <c r="BH36" s="48">
        <f t="shared" si="25"/>
        <v>0</v>
      </c>
      <c r="BI36" s="48">
        <f t="shared" si="26"/>
        <v>0</v>
      </c>
      <c r="BJ36" s="48">
        <f t="shared" si="27"/>
        <v>0</v>
      </c>
      <c r="BK36" s="48">
        <f t="shared" si="28"/>
        <v>0</v>
      </c>
      <c r="BL36" s="48">
        <f t="shared" si="29"/>
        <v>0</v>
      </c>
      <c r="BM36" s="48">
        <f t="shared" si="30"/>
        <v>0</v>
      </c>
      <c r="BN36" s="48">
        <f t="shared" si="31"/>
        <v>0</v>
      </c>
      <c r="BO36" s="48">
        <f t="shared" si="32"/>
        <v>0</v>
      </c>
      <c r="BP36" s="48">
        <f t="shared" si="33"/>
        <v>0</v>
      </c>
      <c r="BQ36" s="48">
        <f t="shared" si="34"/>
        <v>0</v>
      </c>
      <c r="BR36" s="48">
        <f t="shared" si="35"/>
        <v>0</v>
      </c>
      <c r="BS36" s="48">
        <f t="shared" si="36"/>
        <v>0</v>
      </c>
      <c r="BT36" s="48">
        <f t="shared" si="37"/>
        <v>0</v>
      </c>
      <c r="BU36" s="48">
        <f t="shared" si="38"/>
        <v>0</v>
      </c>
      <c r="BV36" s="48">
        <f t="shared" si="39"/>
        <v>0</v>
      </c>
      <c r="BW36" s="48">
        <f t="shared" si="40"/>
        <v>0</v>
      </c>
      <c r="BX36" s="48">
        <f t="shared" si="41"/>
        <v>0</v>
      </c>
      <c r="BY36" s="48">
        <f t="shared" si="42"/>
        <v>0</v>
      </c>
      <c r="BZ36" s="48">
        <f t="shared" si="43"/>
        <v>0</v>
      </c>
      <c r="CA36" s="48">
        <f t="shared" si="44"/>
        <v>0</v>
      </c>
      <c r="CB36" s="48">
        <f t="shared" si="45"/>
        <v>0</v>
      </c>
      <c r="CC36" s="48">
        <f t="shared" si="46"/>
        <v>0</v>
      </c>
      <c r="CD36" s="48">
        <f t="shared" si="47"/>
        <v>0</v>
      </c>
      <c r="CE36" s="48">
        <f t="shared" si="48"/>
        <v>0</v>
      </c>
      <c r="CF36" s="48">
        <f t="shared" si="49"/>
        <v>0</v>
      </c>
      <c r="CG36" s="48">
        <f t="shared" si="50"/>
        <v>0</v>
      </c>
      <c r="CH36" s="48">
        <f t="shared" si="51"/>
        <v>0</v>
      </c>
      <c r="CI36" s="48">
        <f t="shared" si="52"/>
        <v>0</v>
      </c>
      <c r="CJ36" s="48">
        <f t="shared" si="53"/>
        <v>0</v>
      </c>
      <c r="CK36" s="48">
        <f t="shared" si="54"/>
        <v>0</v>
      </c>
      <c r="CL36" s="48">
        <f t="shared" si="55"/>
        <v>0</v>
      </c>
      <c r="CM36" s="48">
        <f t="shared" si="56"/>
        <v>0</v>
      </c>
      <c r="CN36" s="48">
        <f t="shared" si="57"/>
        <v>0</v>
      </c>
      <c r="CO36" s="48">
        <f t="shared" si="58"/>
        <v>0</v>
      </c>
      <c r="CP36" s="48">
        <f t="shared" si="59"/>
        <v>0</v>
      </c>
      <c r="CQ36" s="48">
        <f t="shared" si="60"/>
        <v>0</v>
      </c>
      <c r="CR36" s="48">
        <f t="shared" si="61"/>
        <v>0</v>
      </c>
      <c r="CS36" s="48">
        <f t="shared" si="62"/>
        <v>0</v>
      </c>
      <c r="CT36" s="48">
        <f t="shared" si="63"/>
        <v>0</v>
      </c>
      <c r="CU36" s="48">
        <f t="shared" si="64"/>
        <v>0</v>
      </c>
      <c r="CV36" s="48">
        <f t="shared" si="65"/>
        <v>0</v>
      </c>
      <c r="CW36" s="48">
        <f t="shared" si="66"/>
        <v>0</v>
      </c>
      <c r="CX36" s="48">
        <f t="shared" si="67"/>
        <v>0</v>
      </c>
      <c r="CY36" s="48">
        <f t="shared" si="68"/>
        <v>0</v>
      </c>
      <c r="CZ36" s="48">
        <f t="shared" si="69"/>
        <v>0</v>
      </c>
      <c r="DA36" s="48">
        <f t="shared" si="70"/>
        <v>0</v>
      </c>
      <c r="DB36" s="48">
        <f t="shared" si="71"/>
        <v>0</v>
      </c>
      <c r="DC36" s="48">
        <f t="shared" si="72"/>
        <v>0</v>
      </c>
      <c r="DD36" s="48">
        <f t="shared" si="73"/>
        <v>0</v>
      </c>
      <c r="DE36" s="48">
        <f t="shared" si="74"/>
        <v>0</v>
      </c>
      <c r="DF36" s="48">
        <f t="shared" si="75"/>
        <v>0</v>
      </c>
      <c r="DG36" s="48">
        <f t="shared" si="76"/>
        <v>0</v>
      </c>
      <c r="DH36" s="48">
        <f t="shared" si="77"/>
        <v>0</v>
      </c>
      <c r="DI36" s="48">
        <f t="shared" si="78"/>
        <v>0</v>
      </c>
      <c r="DJ36" s="48">
        <f t="shared" si="79"/>
        <v>0</v>
      </c>
      <c r="DK36" s="48">
        <f t="shared" si="80"/>
        <v>0</v>
      </c>
      <c r="DL36" s="48">
        <f t="shared" si="81"/>
        <v>0</v>
      </c>
      <c r="DM36" s="48">
        <f t="shared" si="82"/>
        <v>0</v>
      </c>
      <c r="DN36" s="48">
        <f t="shared" si="83"/>
        <v>0</v>
      </c>
      <c r="DO36" s="48">
        <f t="shared" si="84"/>
        <v>0</v>
      </c>
      <c r="DP36" s="48">
        <f t="shared" si="85"/>
        <v>0</v>
      </c>
      <c r="DQ36" s="48">
        <f t="shared" si="86"/>
        <v>0</v>
      </c>
      <c r="DR36" s="48">
        <f t="shared" si="87"/>
        <v>0</v>
      </c>
      <c r="DS36" s="48">
        <f t="shared" si="88"/>
        <v>0</v>
      </c>
      <c r="DT36" s="48">
        <f t="shared" si="89"/>
        <v>0</v>
      </c>
      <c r="DU36" s="48">
        <f t="shared" si="90"/>
        <v>0</v>
      </c>
      <c r="DV36" s="48">
        <f t="shared" si="91"/>
        <v>0</v>
      </c>
      <c r="DW36" s="48">
        <f t="shared" si="92"/>
        <v>0</v>
      </c>
      <c r="DX36" s="48">
        <f t="shared" si="93"/>
        <v>0</v>
      </c>
      <c r="DY36" s="48">
        <f t="shared" si="94"/>
        <v>0</v>
      </c>
      <c r="DZ36" s="48">
        <f t="shared" si="95"/>
        <v>0</v>
      </c>
      <c r="EA36" s="48">
        <f t="shared" si="96"/>
        <v>0</v>
      </c>
      <c r="EB36" s="48">
        <f t="shared" si="97"/>
        <v>0</v>
      </c>
      <c r="EC36" s="48">
        <f t="shared" si="98"/>
        <v>0</v>
      </c>
      <c r="ED36" s="48">
        <f t="shared" si="99"/>
        <v>0</v>
      </c>
      <c r="EE36" s="48">
        <f t="shared" si="100"/>
        <v>0</v>
      </c>
      <c r="EF36" s="48">
        <f t="shared" si="101"/>
        <v>0</v>
      </c>
      <c r="EG36" s="48">
        <f t="shared" si="102"/>
        <v>0</v>
      </c>
      <c r="EH36" s="48">
        <f t="shared" si="103"/>
        <v>0</v>
      </c>
      <c r="EI36" s="48">
        <f t="shared" si="104"/>
        <v>0</v>
      </c>
      <c r="EJ36" s="48">
        <f t="shared" si="105"/>
        <v>0</v>
      </c>
      <c r="EK36" s="48">
        <f t="shared" si="106"/>
        <v>0</v>
      </c>
      <c r="EL36" s="48">
        <f t="shared" si="107"/>
        <v>0</v>
      </c>
      <c r="EM36" s="48">
        <f t="shared" si="108"/>
        <v>0</v>
      </c>
      <c r="EN36" s="48">
        <f t="shared" si="109"/>
        <v>0</v>
      </c>
      <c r="EO36" s="48">
        <f t="shared" si="110"/>
        <v>0</v>
      </c>
      <c r="EP36" s="48">
        <f t="shared" si="111"/>
        <v>0</v>
      </c>
      <c r="EQ36" s="48">
        <f t="shared" si="112"/>
        <v>0</v>
      </c>
      <c r="ER36" s="48">
        <f t="shared" si="113"/>
        <v>0</v>
      </c>
      <c r="ES36" s="48">
        <f t="shared" si="114"/>
        <v>0</v>
      </c>
      <c r="ET36" s="48">
        <f t="shared" si="115"/>
        <v>0</v>
      </c>
      <c r="EU36" s="48">
        <f t="shared" si="116"/>
        <v>0</v>
      </c>
      <c r="EV36" s="48">
        <f t="shared" si="117"/>
        <v>0</v>
      </c>
      <c r="EW36" s="48">
        <f t="shared" si="118"/>
        <v>0</v>
      </c>
      <c r="EX36" s="48">
        <f t="shared" si="119"/>
        <v>0</v>
      </c>
      <c r="EY36" s="48">
        <f t="shared" si="120"/>
        <v>0</v>
      </c>
      <c r="EZ36" s="48">
        <f t="shared" si="121"/>
        <v>0</v>
      </c>
      <c r="FA36" s="48">
        <f t="shared" si="122"/>
        <v>0</v>
      </c>
      <c r="FB36" s="48">
        <f t="shared" si="123"/>
        <v>0</v>
      </c>
      <c r="FC36" s="48">
        <f t="shared" si="124"/>
        <v>0</v>
      </c>
      <c r="FD36" s="48">
        <f t="shared" si="125"/>
        <v>0</v>
      </c>
      <c r="FE36" s="48">
        <f t="shared" si="126"/>
        <v>0</v>
      </c>
      <c r="FF36" s="48">
        <f t="shared" si="127"/>
        <v>0</v>
      </c>
      <c r="FG36" s="48">
        <f t="shared" si="128"/>
        <v>0</v>
      </c>
      <c r="FH36" s="48">
        <f t="shared" si="129"/>
        <v>0</v>
      </c>
      <c r="FI36" s="48">
        <f t="shared" si="130"/>
        <v>0</v>
      </c>
      <c r="FJ36" s="48">
        <f t="shared" si="131"/>
        <v>0</v>
      </c>
      <c r="FK36" s="48">
        <f t="shared" si="132"/>
        <v>0</v>
      </c>
      <c r="FL36" s="48">
        <f t="shared" si="133"/>
        <v>0</v>
      </c>
      <c r="FM36" s="48">
        <f t="shared" si="134"/>
        <v>0</v>
      </c>
      <c r="FN36" s="48">
        <f t="shared" si="135"/>
        <v>0</v>
      </c>
      <c r="FO36" s="48">
        <f t="shared" si="136"/>
        <v>0</v>
      </c>
      <c r="FP36" s="48">
        <f t="shared" si="137"/>
        <v>0</v>
      </c>
      <c r="FQ36" s="48">
        <f t="shared" si="138"/>
        <v>0</v>
      </c>
      <c r="FR36" s="48">
        <f t="shared" si="139"/>
        <v>0</v>
      </c>
      <c r="FS36" s="48">
        <f t="shared" si="140"/>
        <v>0</v>
      </c>
      <c r="FT36" s="48">
        <f t="shared" si="141"/>
        <v>0</v>
      </c>
      <c r="FU36" s="48">
        <f t="shared" si="142"/>
        <v>0</v>
      </c>
      <c r="FV36" s="48">
        <f t="shared" si="143"/>
        <v>0</v>
      </c>
      <c r="FW36" s="48">
        <f t="shared" si="144"/>
        <v>0</v>
      </c>
      <c r="FX36" s="48">
        <f t="shared" si="145"/>
        <v>0</v>
      </c>
      <c r="FY36" s="48">
        <f t="shared" si="146"/>
        <v>0</v>
      </c>
      <c r="FZ36" s="48">
        <f t="shared" si="147"/>
        <v>0</v>
      </c>
      <c r="GA36" s="48">
        <f t="shared" si="148"/>
        <v>0</v>
      </c>
      <c r="GB36" s="48">
        <f t="shared" si="149"/>
        <v>0</v>
      </c>
      <c r="GC36" s="48">
        <f t="shared" si="150"/>
        <v>0</v>
      </c>
      <c r="GG36">
        <f t="shared" si="151"/>
        <v>0</v>
      </c>
    </row>
    <row r="37" spans="1:189" x14ac:dyDescent="0.25">
      <c r="A37" s="690"/>
      <c r="B37" s="690"/>
      <c r="C37" s="690"/>
      <c r="D37" s="690"/>
      <c r="E37" s="690"/>
      <c r="F37" s="690"/>
      <c r="G37" s="889"/>
      <c r="H37" s="690"/>
      <c r="I37" s="690"/>
      <c r="J37" s="690"/>
      <c r="K37" s="690"/>
      <c r="L37" s="690"/>
      <c r="M37" s="690"/>
      <c r="N37" s="507" t="str">
        <f t="shared" si="159"/>
        <v/>
      </c>
      <c r="O37" s="690"/>
      <c r="P37" s="507" t="str">
        <f t="shared" si="158"/>
        <v/>
      </c>
      <c r="Q37" s="690"/>
      <c r="R37" s="690"/>
      <c r="S37" s="690"/>
      <c r="T37" s="690"/>
      <c r="U37">
        <f t="shared" si="152"/>
        <v>0</v>
      </c>
      <c r="V37">
        <f t="shared" si="153"/>
        <v>0</v>
      </c>
      <c r="X37">
        <f t="shared" si="154"/>
        <v>0</v>
      </c>
      <c r="Y37">
        <f t="shared" si="155"/>
        <v>0</v>
      </c>
      <c r="Z37">
        <f t="shared" si="156"/>
        <v>0</v>
      </c>
      <c r="AA37">
        <f t="shared" si="157"/>
        <v>0</v>
      </c>
      <c r="AB37" s="25"/>
      <c r="AC37" s="25"/>
      <c r="AD37" s="25"/>
      <c r="AF37" s="48" t="s">
        <v>692</v>
      </c>
      <c r="AG37" s="689"/>
      <c r="AH37" s="689"/>
      <c r="AI37" s="48">
        <f t="shared" si="0"/>
        <v>0</v>
      </c>
      <c r="AJ37" s="48">
        <f t="shared" si="1"/>
        <v>0</v>
      </c>
      <c r="AK37" s="48">
        <f t="shared" si="2"/>
        <v>0</v>
      </c>
      <c r="AL37" s="48">
        <f t="shared" si="3"/>
        <v>0</v>
      </c>
      <c r="AM37" s="48">
        <f t="shared" si="4"/>
        <v>0</v>
      </c>
      <c r="AN37" s="48">
        <f t="shared" si="5"/>
        <v>0</v>
      </c>
      <c r="AO37" s="48">
        <f t="shared" si="6"/>
        <v>0</v>
      </c>
      <c r="AP37" s="48">
        <f t="shared" si="7"/>
        <v>0</v>
      </c>
      <c r="AQ37" s="48">
        <f t="shared" si="8"/>
        <v>0</v>
      </c>
      <c r="AR37" s="48">
        <f t="shared" si="9"/>
        <v>0</v>
      </c>
      <c r="AS37" s="48">
        <f t="shared" si="10"/>
        <v>0</v>
      </c>
      <c r="AT37" s="48">
        <f t="shared" si="11"/>
        <v>0</v>
      </c>
      <c r="AU37" s="48">
        <f t="shared" si="12"/>
        <v>0</v>
      </c>
      <c r="AV37" s="48">
        <f t="shared" si="13"/>
        <v>0</v>
      </c>
      <c r="AW37" s="48">
        <f t="shared" si="14"/>
        <v>0</v>
      </c>
      <c r="AX37" s="48">
        <f t="shared" si="15"/>
        <v>0</v>
      </c>
      <c r="AY37" s="48">
        <f t="shared" si="16"/>
        <v>0</v>
      </c>
      <c r="AZ37" s="48">
        <f t="shared" si="17"/>
        <v>0</v>
      </c>
      <c r="BA37" s="48">
        <f t="shared" si="18"/>
        <v>0</v>
      </c>
      <c r="BB37" s="48">
        <f t="shared" si="19"/>
        <v>0</v>
      </c>
      <c r="BC37" s="48">
        <f t="shared" si="20"/>
        <v>0</v>
      </c>
      <c r="BD37" s="48">
        <f t="shared" si="21"/>
        <v>0</v>
      </c>
      <c r="BE37" s="48">
        <f t="shared" si="22"/>
        <v>0</v>
      </c>
      <c r="BF37" s="48">
        <f t="shared" si="23"/>
        <v>0</v>
      </c>
      <c r="BG37" s="48">
        <f t="shared" si="24"/>
        <v>0</v>
      </c>
      <c r="BH37" s="48">
        <f t="shared" si="25"/>
        <v>0</v>
      </c>
      <c r="BI37" s="48">
        <f t="shared" si="26"/>
        <v>0</v>
      </c>
      <c r="BJ37" s="48">
        <f t="shared" si="27"/>
        <v>0</v>
      </c>
      <c r="BK37" s="48">
        <f t="shared" si="28"/>
        <v>0</v>
      </c>
      <c r="BL37" s="48">
        <f t="shared" si="29"/>
        <v>0</v>
      </c>
      <c r="BM37" s="48">
        <f t="shared" si="30"/>
        <v>0</v>
      </c>
      <c r="BN37" s="48">
        <f t="shared" si="31"/>
        <v>0</v>
      </c>
      <c r="BO37" s="48">
        <f t="shared" si="32"/>
        <v>0</v>
      </c>
      <c r="BP37" s="48">
        <f t="shared" si="33"/>
        <v>0</v>
      </c>
      <c r="BQ37" s="48">
        <f t="shared" si="34"/>
        <v>0</v>
      </c>
      <c r="BR37" s="48">
        <f t="shared" si="35"/>
        <v>0</v>
      </c>
      <c r="BS37" s="48">
        <f t="shared" si="36"/>
        <v>0</v>
      </c>
      <c r="BT37" s="48">
        <f t="shared" si="37"/>
        <v>0</v>
      </c>
      <c r="BU37" s="48">
        <f t="shared" si="38"/>
        <v>0</v>
      </c>
      <c r="BV37" s="48">
        <f t="shared" si="39"/>
        <v>0</v>
      </c>
      <c r="BW37" s="48">
        <f t="shared" si="40"/>
        <v>0</v>
      </c>
      <c r="BX37" s="48">
        <f t="shared" si="41"/>
        <v>0</v>
      </c>
      <c r="BY37" s="48">
        <f t="shared" si="42"/>
        <v>0</v>
      </c>
      <c r="BZ37" s="48">
        <f t="shared" si="43"/>
        <v>0</v>
      </c>
      <c r="CA37" s="48">
        <f t="shared" si="44"/>
        <v>0</v>
      </c>
      <c r="CB37" s="48">
        <f t="shared" si="45"/>
        <v>0</v>
      </c>
      <c r="CC37" s="48">
        <f t="shared" si="46"/>
        <v>0</v>
      </c>
      <c r="CD37" s="48">
        <f t="shared" si="47"/>
        <v>0</v>
      </c>
      <c r="CE37" s="48">
        <f t="shared" si="48"/>
        <v>0</v>
      </c>
      <c r="CF37" s="48">
        <f t="shared" si="49"/>
        <v>0</v>
      </c>
      <c r="CG37" s="48">
        <f t="shared" si="50"/>
        <v>0</v>
      </c>
      <c r="CH37" s="48">
        <f t="shared" si="51"/>
        <v>0</v>
      </c>
      <c r="CI37" s="48">
        <f t="shared" si="52"/>
        <v>0</v>
      </c>
      <c r="CJ37" s="48">
        <f t="shared" si="53"/>
        <v>0</v>
      </c>
      <c r="CK37" s="48">
        <f t="shared" si="54"/>
        <v>0</v>
      </c>
      <c r="CL37" s="48">
        <f t="shared" si="55"/>
        <v>0</v>
      </c>
      <c r="CM37" s="48">
        <f t="shared" si="56"/>
        <v>0</v>
      </c>
      <c r="CN37" s="48">
        <f t="shared" si="57"/>
        <v>0</v>
      </c>
      <c r="CO37" s="48">
        <f t="shared" si="58"/>
        <v>0</v>
      </c>
      <c r="CP37" s="48">
        <f t="shared" si="59"/>
        <v>0</v>
      </c>
      <c r="CQ37" s="48">
        <f t="shared" si="60"/>
        <v>0</v>
      </c>
      <c r="CR37" s="48">
        <f t="shared" si="61"/>
        <v>0</v>
      </c>
      <c r="CS37" s="48">
        <f t="shared" si="62"/>
        <v>0</v>
      </c>
      <c r="CT37" s="48">
        <f t="shared" si="63"/>
        <v>0</v>
      </c>
      <c r="CU37" s="48">
        <f t="shared" si="64"/>
        <v>0</v>
      </c>
      <c r="CV37" s="48">
        <f t="shared" si="65"/>
        <v>0</v>
      </c>
      <c r="CW37" s="48">
        <f t="shared" si="66"/>
        <v>0</v>
      </c>
      <c r="CX37" s="48">
        <f t="shared" si="67"/>
        <v>0</v>
      </c>
      <c r="CY37" s="48">
        <f t="shared" si="68"/>
        <v>0</v>
      </c>
      <c r="CZ37" s="48">
        <f t="shared" si="69"/>
        <v>0</v>
      </c>
      <c r="DA37" s="48">
        <f t="shared" si="70"/>
        <v>0</v>
      </c>
      <c r="DB37" s="48">
        <f t="shared" si="71"/>
        <v>0</v>
      </c>
      <c r="DC37" s="48">
        <f t="shared" si="72"/>
        <v>0</v>
      </c>
      <c r="DD37" s="48">
        <f t="shared" si="73"/>
        <v>0</v>
      </c>
      <c r="DE37" s="48">
        <f t="shared" si="74"/>
        <v>0</v>
      </c>
      <c r="DF37" s="48">
        <f t="shared" si="75"/>
        <v>0</v>
      </c>
      <c r="DG37" s="48">
        <f t="shared" si="76"/>
        <v>0</v>
      </c>
      <c r="DH37" s="48">
        <f t="shared" si="77"/>
        <v>0</v>
      </c>
      <c r="DI37" s="48">
        <f t="shared" si="78"/>
        <v>0</v>
      </c>
      <c r="DJ37" s="48">
        <f t="shared" si="79"/>
        <v>0</v>
      </c>
      <c r="DK37" s="48">
        <f t="shared" si="80"/>
        <v>0</v>
      </c>
      <c r="DL37" s="48">
        <f t="shared" si="81"/>
        <v>0</v>
      </c>
      <c r="DM37" s="48">
        <f t="shared" si="82"/>
        <v>0</v>
      </c>
      <c r="DN37" s="48">
        <f t="shared" si="83"/>
        <v>0</v>
      </c>
      <c r="DO37" s="48">
        <f t="shared" si="84"/>
        <v>0</v>
      </c>
      <c r="DP37" s="48">
        <f t="shared" si="85"/>
        <v>0</v>
      </c>
      <c r="DQ37" s="48">
        <f t="shared" si="86"/>
        <v>0</v>
      </c>
      <c r="DR37" s="48">
        <f t="shared" si="87"/>
        <v>0</v>
      </c>
      <c r="DS37" s="48">
        <f t="shared" si="88"/>
        <v>0</v>
      </c>
      <c r="DT37" s="48">
        <f t="shared" si="89"/>
        <v>0</v>
      </c>
      <c r="DU37" s="48">
        <f t="shared" si="90"/>
        <v>0</v>
      </c>
      <c r="DV37" s="48">
        <f t="shared" si="91"/>
        <v>0</v>
      </c>
      <c r="DW37" s="48">
        <f t="shared" si="92"/>
        <v>0</v>
      </c>
      <c r="DX37" s="48">
        <f t="shared" si="93"/>
        <v>0</v>
      </c>
      <c r="DY37" s="48">
        <f t="shared" si="94"/>
        <v>0</v>
      </c>
      <c r="DZ37" s="48">
        <f t="shared" si="95"/>
        <v>0</v>
      </c>
      <c r="EA37" s="48">
        <f t="shared" si="96"/>
        <v>0</v>
      </c>
      <c r="EB37" s="48">
        <f t="shared" si="97"/>
        <v>0</v>
      </c>
      <c r="EC37" s="48">
        <f t="shared" si="98"/>
        <v>0</v>
      </c>
      <c r="ED37" s="48">
        <f t="shared" si="99"/>
        <v>0</v>
      </c>
      <c r="EE37" s="48">
        <f t="shared" si="100"/>
        <v>0</v>
      </c>
      <c r="EF37" s="48">
        <f t="shared" si="101"/>
        <v>0</v>
      </c>
      <c r="EG37" s="48">
        <f t="shared" si="102"/>
        <v>0</v>
      </c>
      <c r="EH37" s="48">
        <f t="shared" si="103"/>
        <v>0</v>
      </c>
      <c r="EI37" s="48">
        <f t="shared" si="104"/>
        <v>0</v>
      </c>
      <c r="EJ37" s="48">
        <f t="shared" si="105"/>
        <v>0</v>
      </c>
      <c r="EK37" s="48">
        <f t="shared" si="106"/>
        <v>0</v>
      </c>
      <c r="EL37" s="48">
        <f t="shared" si="107"/>
        <v>0</v>
      </c>
      <c r="EM37" s="48">
        <f t="shared" si="108"/>
        <v>0</v>
      </c>
      <c r="EN37" s="48">
        <f t="shared" si="109"/>
        <v>0</v>
      </c>
      <c r="EO37" s="48">
        <f t="shared" si="110"/>
        <v>0</v>
      </c>
      <c r="EP37" s="48">
        <f t="shared" si="111"/>
        <v>0</v>
      </c>
      <c r="EQ37" s="48">
        <f t="shared" si="112"/>
        <v>0</v>
      </c>
      <c r="ER37" s="48">
        <f t="shared" si="113"/>
        <v>0</v>
      </c>
      <c r="ES37" s="48">
        <f t="shared" si="114"/>
        <v>0</v>
      </c>
      <c r="ET37" s="48">
        <f t="shared" si="115"/>
        <v>0</v>
      </c>
      <c r="EU37" s="48">
        <f t="shared" si="116"/>
        <v>0</v>
      </c>
      <c r="EV37" s="48">
        <f t="shared" si="117"/>
        <v>0</v>
      </c>
      <c r="EW37" s="48">
        <f t="shared" si="118"/>
        <v>0</v>
      </c>
      <c r="EX37" s="48">
        <f t="shared" si="119"/>
        <v>0</v>
      </c>
      <c r="EY37" s="48">
        <f t="shared" si="120"/>
        <v>0</v>
      </c>
      <c r="EZ37" s="48">
        <f t="shared" si="121"/>
        <v>0</v>
      </c>
      <c r="FA37" s="48">
        <f t="shared" si="122"/>
        <v>0</v>
      </c>
      <c r="FB37" s="48">
        <f t="shared" si="123"/>
        <v>0</v>
      </c>
      <c r="FC37" s="48">
        <f t="shared" si="124"/>
        <v>0</v>
      </c>
      <c r="FD37" s="48">
        <f t="shared" si="125"/>
        <v>0</v>
      </c>
      <c r="FE37" s="48">
        <f t="shared" si="126"/>
        <v>0</v>
      </c>
      <c r="FF37" s="48">
        <f t="shared" si="127"/>
        <v>0</v>
      </c>
      <c r="FG37" s="48">
        <f t="shared" si="128"/>
        <v>0</v>
      </c>
      <c r="FH37" s="48">
        <f t="shared" si="129"/>
        <v>0</v>
      </c>
      <c r="FI37" s="48">
        <f t="shared" si="130"/>
        <v>0</v>
      </c>
      <c r="FJ37" s="48">
        <f t="shared" si="131"/>
        <v>0</v>
      </c>
      <c r="FK37" s="48">
        <f t="shared" si="132"/>
        <v>0</v>
      </c>
      <c r="FL37" s="48">
        <f t="shared" si="133"/>
        <v>0</v>
      </c>
      <c r="FM37" s="48">
        <f t="shared" si="134"/>
        <v>0</v>
      </c>
      <c r="FN37" s="48">
        <f t="shared" si="135"/>
        <v>0</v>
      </c>
      <c r="FO37" s="48">
        <f t="shared" si="136"/>
        <v>0</v>
      </c>
      <c r="FP37" s="48">
        <f t="shared" si="137"/>
        <v>0</v>
      </c>
      <c r="FQ37" s="48">
        <f t="shared" si="138"/>
        <v>0</v>
      </c>
      <c r="FR37" s="48">
        <f t="shared" si="139"/>
        <v>0</v>
      </c>
      <c r="FS37" s="48">
        <f t="shared" si="140"/>
        <v>0</v>
      </c>
      <c r="FT37" s="48">
        <f t="shared" si="141"/>
        <v>0</v>
      </c>
      <c r="FU37" s="48">
        <f t="shared" si="142"/>
        <v>0</v>
      </c>
      <c r="FV37" s="48">
        <f t="shared" si="143"/>
        <v>0</v>
      </c>
      <c r="FW37" s="48">
        <f t="shared" si="144"/>
        <v>0</v>
      </c>
      <c r="FX37" s="48">
        <f t="shared" si="145"/>
        <v>0</v>
      </c>
      <c r="FY37" s="48">
        <f t="shared" si="146"/>
        <v>0</v>
      </c>
      <c r="FZ37" s="48">
        <f t="shared" si="147"/>
        <v>0</v>
      </c>
      <c r="GA37" s="48">
        <f t="shared" si="148"/>
        <v>0</v>
      </c>
      <c r="GB37" s="48">
        <f t="shared" si="149"/>
        <v>0</v>
      </c>
      <c r="GC37" s="48">
        <f t="shared" si="150"/>
        <v>0</v>
      </c>
      <c r="GG37">
        <f t="shared" si="151"/>
        <v>0</v>
      </c>
    </row>
    <row r="38" spans="1:189" x14ac:dyDescent="0.25">
      <c r="A38" s="690"/>
      <c r="B38" s="690"/>
      <c r="C38" s="690"/>
      <c r="D38" s="690"/>
      <c r="E38" s="690"/>
      <c r="F38" s="690"/>
      <c r="G38" s="889"/>
      <c r="H38" s="690"/>
      <c r="I38" s="690"/>
      <c r="J38" s="690"/>
      <c r="K38" s="690"/>
      <c r="L38" s="690"/>
      <c r="M38" s="690"/>
      <c r="N38" s="507" t="str">
        <f t="shared" si="159"/>
        <v/>
      </c>
      <c r="O38" s="690"/>
      <c r="P38" s="507" t="str">
        <f t="shared" si="158"/>
        <v/>
      </c>
      <c r="Q38" s="690"/>
      <c r="R38" s="690"/>
      <c r="S38" s="690"/>
      <c r="T38" s="690"/>
      <c r="U38">
        <f t="shared" si="152"/>
        <v>0</v>
      </c>
      <c r="V38">
        <f t="shared" si="153"/>
        <v>0</v>
      </c>
      <c r="X38">
        <f t="shared" si="154"/>
        <v>0</v>
      </c>
      <c r="Y38">
        <f t="shared" si="155"/>
        <v>0</v>
      </c>
      <c r="Z38">
        <f t="shared" si="156"/>
        <v>0</v>
      </c>
      <c r="AA38">
        <f t="shared" si="157"/>
        <v>0</v>
      </c>
      <c r="AB38" s="25"/>
      <c r="AC38" s="25"/>
      <c r="AD38" s="25"/>
      <c r="AF38" s="48" t="s">
        <v>693</v>
      </c>
      <c r="AG38" s="689"/>
      <c r="AH38" s="689"/>
      <c r="AI38" s="48">
        <f t="shared" si="0"/>
        <v>0</v>
      </c>
      <c r="AJ38" s="48">
        <f t="shared" si="1"/>
        <v>0</v>
      </c>
      <c r="AK38" s="48">
        <f t="shared" si="2"/>
        <v>0</v>
      </c>
      <c r="AL38" s="48">
        <f t="shared" si="3"/>
        <v>0</v>
      </c>
      <c r="AM38" s="48">
        <f t="shared" si="4"/>
        <v>0</v>
      </c>
      <c r="AN38" s="48">
        <f t="shared" si="5"/>
        <v>0</v>
      </c>
      <c r="AO38" s="48">
        <f t="shared" si="6"/>
        <v>0</v>
      </c>
      <c r="AP38" s="48">
        <f t="shared" si="7"/>
        <v>0</v>
      </c>
      <c r="AQ38" s="48">
        <f t="shared" si="8"/>
        <v>0</v>
      </c>
      <c r="AR38" s="48">
        <f t="shared" si="9"/>
        <v>0</v>
      </c>
      <c r="AS38" s="48">
        <f t="shared" si="10"/>
        <v>0</v>
      </c>
      <c r="AT38" s="48">
        <f t="shared" si="11"/>
        <v>0</v>
      </c>
      <c r="AU38" s="48">
        <f t="shared" si="12"/>
        <v>0</v>
      </c>
      <c r="AV38" s="48">
        <f t="shared" si="13"/>
        <v>0</v>
      </c>
      <c r="AW38" s="48">
        <f t="shared" si="14"/>
        <v>0</v>
      </c>
      <c r="AX38" s="48">
        <f t="shared" si="15"/>
        <v>0</v>
      </c>
      <c r="AY38" s="48">
        <f t="shared" si="16"/>
        <v>0</v>
      </c>
      <c r="AZ38" s="48">
        <f t="shared" si="17"/>
        <v>0</v>
      </c>
      <c r="BA38" s="48">
        <f t="shared" si="18"/>
        <v>0</v>
      </c>
      <c r="BB38" s="48">
        <f t="shared" si="19"/>
        <v>0</v>
      </c>
      <c r="BC38" s="48">
        <f t="shared" si="20"/>
        <v>0</v>
      </c>
      <c r="BD38" s="48">
        <f t="shared" si="21"/>
        <v>0</v>
      </c>
      <c r="BE38" s="48">
        <f t="shared" si="22"/>
        <v>0</v>
      </c>
      <c r="BF38" s="48">
        <f t="shared" si="23"/>
        <v>0</v>
      </c>
      <c r="BG38" s="48">
        <f t="shared" si="24"/>
        <v>0</v>
      </c>
      <c r="BH38" s="48">
        <f t="shared" si="25"/>
        <v>0</v>
      </c>
      <c r="BI38" s="48">
        <f t="shared" si="26"/>
        <v>0</v>
      </c>
      <c r="BJ38" s="48">
        <f t="shared" si="27"/>
        <v>0</v>
      </c>
      <c r="BK38" s="48">
        <f t="shared" si="28"/>
        <v>0</v>
      </c>
      <c r="BL38" s="48">
        <f t="shared" si="29"/>
        <v>0</v>
      </c>
      <c r="BM38" s="48">
        <f t="shared" si="30"/>
        <v>0</v>
      </c>
      <c r="BN38" s="48">
        <f t="shared" si="31"/>
        <v>0</v>
      </c>
      <c r="BO38" s="48">
        <f t="shared" si="32"/>
        <v>0</v>
      </c>
      <c r="BP38" s="48">
        <f t="shared" si="33"/>
        <v>0</v>
      </c>
      <c r="BQ38" s="48">
        <f t="shared" si="34"/>
        <v>0</v>
      </c>
      <c r="BR38" s="48">
        <f t="shared" si="35"/>
        <v>0</v>
      </c>
      <c r="BS38" s="48">
        <f t="shared" si="36"/>
        <v>0</v>
      </c>
      <c r="BT38" s="48">
        <f t="shared" si="37"/>
        <v>0</v>
      </c>
      <c r="BU38" s="48">
        <f t="shared" si="38"/>
        <v>0</v>
      </c>
      <c r="BV38" s="48">
        <f t="shared" si="39"/>
        <v>0</v>
      </c>
      <c r="BW38" s="48">
        <f t="shared" si="40"/>
        <v>0</v>
      </c>
      <c r="BX38" s="48">
        <f t="shared" si="41"/>
        <v>0</v>
      </c>
      <c r="BY38" s="48">
        <f t="shared" si="42"/>
        <v>0</v>
      </c>
      <c r="BZ38" s="48">
        <f t="shared" si="43"/>
        <v>0</v>
      </c>
      <c r="CA38" s="48">
        <f t="shared" si="44"/>
        <v>0</v>
      </c>
      <c r="CB38" s="48">
        <f t="shared" si="45"/>
        <v>0</v>
      </c>
      <c r="CC38" s="48">
        <f t="shared" si="46"/>
        <v>0</v>
      </c>
      <c r="CD38" s="48">
        <f t="shared" si="47"/>
        <v>0</v>
      </c>
      <c r="CE38" s="48">
        <f t="shared" si="48"/>
        <v>0</v>
      </c>
      <c r="CF38" s="48">
        <f t="shared" si="49"/>
        <v>0</v>
      </c>
      <c r="CG38" s="48">
        <f t="shared" si="50"/>
        <v>0</v>
      </c>
      <c r="CH38" s="48">
        <f t="shared" si="51"/>
        <v>0</v>
      </c>
      <c r="CI38" s="48">
        <f t="shared" si="52"/>
        <v>0</v>
      </c>
      <c r="CJ38" s="48">
        <f t="shared" si="53"/>
        <v>0</v>
      </c>
      <c r="CK38" s="48">
        <f t="shared" si="54"/>
        <v>0</v>
      </c>
      <c r="CL38" s="48">
        <f t="shared" si="55"/>
        <v>0</v>
      </c>
      <c r="CM38" s="48">
        <f t="shared" si="56"/>
        <v>0</v>
      </c>
      <c r="CN38" s="48">
        <f t="shared" si="57"/>
        <v>0</v>
      </c>
      <c r="CO38" s="48">
        <f t="shared" si="58"/>
        <v>0</v>
      </c>
      <c r="CP38" s="48">
        <f t="shared" si="59"/>
        <v>0</v>
      </c>
      <c r="CQ38" s="48">
        <f t="shared" si="60"/>
        <v>0</v>
      </c>
      <c r="CR38" s="48">
        <f t="shared" si="61"/>
        <v>0</v>
      </c>
      <c r="CS38" s="48">
        <f t="shared" si="62"/>
        <v>0</v>
      </c>
      <c r="CT38" s="48">
        <f t="shared" si="63"/>
        <v>0</v>
      </c>
      <c r="CU38" s="48">
        <f t="shared" si="64"/>
        <v>0</v>
      </c>
      <c r="CV38" s="48">
        <f t="shared" si="65"/>
        <v>0</v>
      </c>
      <c r="CW38" s="48">
        <f t="shared" si="66"/>
        <v>0</v>
      </c>
      <c r="CX38" s="48">
        <f t="shared" si="67"/>
        <v>0</v>
      </c>
      <c r="CY38" s="48">
        <f t="shared" si="68"/>
        <v>0</v>
      </c>
      <c r="CZ38" s="48">
        <f t="shared" si="69"/>
        <v>0</v>
      </c>
      <c r="DA38" s="48">
        <f t="shared" si="70"/>
        <v>0</v>
      </c>
      <c r="DB38" s="48">
        <f t="shared" si="71"/>
        <v>0</v>
      </c>
      <c r="DC38" s="48">
        <f t="shared" si="72"/>
        <v>0</v>
      </c>
      <c r="DD38" s="48">
        <f t="shared" si="73"/>
        <v>0</v>
      </c>
      <c r="DE38" s="48">
        <f t="shared" si="74"/>
        <v>0</v>
      </c>
      <c r="DF38" s="48">
        <f t="shared" si="75"/>
        <v>0</v>
      </c>
      <c r="DG38" s="48">
        <f t="shared" si="76"/>
        <v>0</v>
      </c>
      <c r="DH38" s="48">
        <f t="shared" si="77"/>
        <v>0</v>
      </c>
      <c r="DI38" s="48">
        <f t="shared" si="78"/>
        <v>0</v>
      </c>
      <c r="DJ38" s="48">
        <f t="shared" si="79"/>
        <v>0</v>
      </c>
      <c r="DK38" s="48">
        <f t="shared" si="80"/>
        <v>0</v>
      </c>
      <c r="DL38" s="48">
        <f t="shared" si="81"/>
        <v>0</v>
      </c>
      <c r="DM38" s="48">
        <f t="shared" si="82"/>
        <v>0</v>
      </c>
      <c r="DN38" s="48">
        <f t="shared" si="83"/>
        <v>0</v>
      </c>
      <c r="DO38" s="48">
        <f t="shared" si="84"/>
        <v>0</v>
      </c>
      <c r="DP38" s="48">
        <f t="shared" si="85"/>
        <v>0</v>
      </c>
      <c r="DQ38" s="48">
        <f t="shared" si="86"/>
        <v>0</v>
      </c>
      <c r="DR38" s="48">
        <f t="shared" si="87"/>
        <v>0</v>
      </c>
      <c r="DS38" s="48">
        <f t="shared" si="88"/>
        <v>0</v>
      </c>
      <c r="DT38" s="48">
        <f t="shared" si="89"/>
        <v>0</v>
      </c>
      <c r="DU38" s="48">
        <f t="shared" si="90"/>
        <v>0</v>
      </c>
      <c r="DV38" s="48">
        <f t="shared" si="91"/>
        <v>0</v>
      </c>
      <c r="DW38" s="48">
        <f t="shared" si="92"/>
        <v>0</v>
      </c>
      <c r="DX38" s="48">
        <f t="shared" si="93"/>
        <v>0</v>
      </c>
      <c r="DY38" s="48">
        <f t="shared" si="94"/>
        <v>0</v>
      </c>
      <c r="DZ38" s="48">
        <f t="shared" si="95"/>
        <v>0</v>
      </c>
      <c r="EA38" s="48">
        <f t="shared" si="96"/>
        <v>0</v>
      </c>
      <c r="EB38" s="48">
        <f t="shared" si="97"/>
        <v>0</v>
      </c>
      <c r="EC38" s="48">
        <f t="shared" si="98"/>
        <v>0</v>
      </c>
      <c r="ED38" s="48">
        <f t="shared" si="99"/>
        <v>0</v>
      </c>
      <c r="EE38" s="48">
        <f t="shared" si="100"/>
        <v>0</v>
      </c>
      <c r="EF38" s="48">
        <f t="shared" si="101"/>
        <v>0</v>
      </c>
      <c r="EG38" s="48">
        <f t="shared" si="102"/>
        <v>0</v>
      </c>
      <c r="EH38" s="48">
        <f t="shared" si="103"/>
        <v>0</v>
      </c>
      <c r="EI38" s="48">
        <f t="shared" si="104"/>
        <v>0</v>
      </c>
      <c r="EJ38" s="48">
        <f t="shared" si="105"/>
        <v>0</v>
      </c>
      <c r="EK38" s="48">
        <f t="shared" si="106"/>
        <v>0</v>
      </c>
      <c r="EL38" s="48">
        <f t="shared" si="107"/>
        <v>0</v>
      </c>
      <c r="EM38" s="48">
        <f t="shared" si="108"/>
        <v>0</v>
      </c>
      <c r="EN38" s="48">
        <f t="shared" si="109"/>
        <v>0</v>
      </c>
      <c r="EO38" s="48">
        <f t="shared" si="110"/>
        <v>0</v>
      </c>
      <c r="EP38" s="48">
        <f t="shared" si="111"/>
        <v>0</v>
      </c>
      <c r="EQ38" s="48">
        <f t="shared" si="112"/>
        <v>0</v>
      </c>
      <c r="ER38" s="48">
        <f t="shared" si="113"/>
        <v>0</v>
      </c>
      <c r="ES38" s="48">
        <f t="shared" si="114"/>
        <v>0</v>
      </c>
      <c r="ET38" s="48">
        <f t="shared" si="115"/>
        <v>0</v>
      </c>
      <c r="EU38" s="48">
        <f t="shared" si="116"/>
        <v>0</v>
      </c>
      <c r="EV38" s="48">
        <f t="shared" si="117"/>
        <v>0</v>
      </c>
      <c r="EW38" s="48">
        <f t="shared" si="118"/>
        <v>0</v>
      </c>
      <c r="EX38" s="48">
        <f t="shared" si="119"/>
        <v>0</v>
      </c>
      <c r="EY38" s="48">
        <f t="shared" si="120"/>
        <v>0</v>
      </c>
      <c r="EZ38" s="48">
        <f t="shared" si="121"/>
        <v>0</v>
      </c>
      <c r="FA38" s="48">
        <f t="shared" si="122"/>
        <v>0</v>
      </c>
      <c r="FB38" s="48">
        <f t="shared" si="123"/>
        <v>0</v>
      </c>
      <c r="FC38" s="48">
        <f t="shared" si="124"/>
        <v>0</v>
      </c>
      <c r="FD38" s="48">
        <f t="shared" si="125"/>
        <v>0</v>
      </c>
      <c r="FE38" s="48">
        <f t="shared" si="126"/>
        <v>0</v>
      </c>
      <c r="FF38" s="48">
        <f t="shared" si="127"/>
        <v>0</v>
      </c>
      <c r="FG38" s="48">
        <f t="shared" si="128"/>
        <v>0</v>
      </c>
      <c r="FH38" s="48">
        <f t="shared" si="129"/>
        <v>0</v>
      </c>
      <c r="FI38" s="48">
        <f t="shared" si="130"/>
        <v>0</v>
      </c>
      <c r="FJ38" s="48">
        <f t="shared" si="131"/>
        <v>0</v>
      </c>
      <c r="FK38" s="48">
        <f t="shared" si="132"/>
        <v>0</v>
      </c>
      <c r="FL38" s="48">
        <f t="shared" si="133"/>
        <v>0</v>
      </c>
      <c r="FM38" s="48">
        <f t="shared" si="134"/>
        <v>0</v>
      </c>
      <c r="FN38" s="48">
        <f t="shared" si="135"/>
        <v>0</v>
      </c>
      <c r="FO38" s="48">
        <f t="shared" si="136"/>
        <v>0</v>
      </c>
      <c r="FP38" s="48">
        <f t="shared" si="137"/>
        <v>0</v>
      </c>
      <c r="FQ38" s="48">
        <f t="shared" si="138"/>
        <v>0</v>
      </c>
      <c r="FR38" s="48">
        <f t="shared" si="139"/>
        <v>0</v>
      </c>
      <c r="FS38" s="48">
        <f t="shared" si="140"/>
        <v>0</v>
      </c>
      <c r="FT38" s="48">
        <f t="shared" si="141"/>
        <v>0</v>
      </c>
      <c r="FU38" s="48">
        <f t="shared" si="142"/>
        <v>0</v>
      </c>
      <c r="FV38" s="48">
        <f t="shared" si="143"/>
        <v>0</v>
      </c>
      <c r="FW38" s="48">
        <f t="shared" si="144"/>
        <v>0</v>
      </c>
      <c r="FX38" s="48">
        <f t="shared" si="145"/>
        <v>0</v>
      </c>
      <c r="FY38" s="48">
        <f t="shared" si="146"/>
        <v>0</v>
      </c>
      <c r="FZ38" s="48">
        <f t="shared" si="147"/>
        <v>0</v>
      </c>
      <c r="GA38" s="48">
        <f t="shared" si="148"/>
        <v>0</v>
      </c>
      <c r="GB38" s="48">
        <f t="shared" si="149"/>
        <v>0</v>
      </c>
      <c r="GC38" s="48">
        <f t="shared" si="150"/>
        <v>0</v>
      </c>
      <c r="GG38">
        <f t="shared" si="151"/>
        <v>0</v>
      </c>
    </row>
    <row r="39" spans="1:189" x14ac:dyDescent="0.25">
      <c r="A39" s="690"/>
      <c r="B39" s="690"/>
      <c r="C39" s="690"/>
      <c r="D39" s="690"/>
      <c r="E39" s="690"/>
      <c r="F39" s="690"/>
      <c r="G39" s="889"/>
      <c r="H39" s="690"/>
      <c r="I39" s="690"/>
      <c r="J39" s="690"/>
      <c r="K39" s="690"/>
      <c r="L39" s="690"/>
      <c r="M39" s="690"/>
      <c r="N39" s="507" t="str">
        <f t="shared" si="159"/>
        <v/>
      </c>
      <c r="O39" s="690"/>
      <c r="P39" s="507" t="str">
        <f t="shared" si="158"/>
        <v/>
      </c>
      <c r="Q39" s="690"/>
      <c r="R39" s="690"/>
      <c r="S39" s="690"/>
      <c r="T39" s="690"/>
      <c r="U39">
        <f t="shared" si="152"/>
        <v>0</v>
      </c>
      <c r="V39">
        <f t="shared" si="153"/>
        <v>0</v>
      </c>
      <c r="X39">
        <f t="shared" si="154"/>
        <v>0</v>
      </c>
      <c r="Y39">
        <f t="shared" si="155"/>
        <v>0</v>
      </c>
      <c r="Z39">
        <f t="shared" si="156"/>
        <v>0</v>
      </c>
      <c r="AA39">
        <f t="shared" si="157"/>
        <v>0</v>
      </c>
      <c r="AB39" s="25"/>
      <c r="AC39" s="25"/>
      <c r="AD39" s="25"/>
      <c r="AF39" s="48" t="s">
        <v>694</v>
      </c>
      <c r="AG39" s="689"/>
      <c r="AH39" s="689"/>
      <c r="AI39" s="48">
        <f t="shared" si="0"/>
        <v>0</v>
      </c>
      <c r="AJ39" s="48">
        <f t="shared" si="1"/>
        <v>0</v>
      </c>
      <c r="AK39" s="48">
        <f t="shared" si="2"/>
        <v>0</v>
      </c>
      <c r="AL39" s="48">
        <f t="shared" si="3"/>
        <v>0</v>
      </c>
      <c r="AM39" s="48">
        <f t="shared" si="4"/>
        <v>0</v>
      </c>
      <c r="AN39" s="48">
        <f t="shared" si="5"/>
        <v>0</v>
      </c>
      <c r="AO39" s="48">
        <f t="shared" si="6"/>
        <v>0</v>
      </c>
      <c r="AP39" s="48">
        <f t="shared" si="7"/>
        <v>0</v>
      </c>
      <c r="AQ39" s="48">
        <f t="shared" si="8"/>
        <v>0</v>
      </c>
      <c r="AR39" s="48">
        <f t="shared" si="9"/>
        <v>0</v>
      </c>
      <c r="AS39" s="48">
        <f t="shared" si="10"/>
        <v>0</v>
      </c>
      <c r="AT39" s="48">
        <f t="shared" si="11"/>
        <v>0</v>
      </c>
      <c r="AU39" s="48">
        <f t="shared" si="12"/>
        <v>0</v>
      </c>
      <c r="AV39" s="48">
        <f t="shared" si="13"/>
        <v>0</v>
      </c>
      <c r="AW39" s="48">
        <f t="shared" si="14"/>
        <v>0</v>
      </c>
      <c r="AX39" s="48">
        <f t="shared" si="15"/>
        <v>0</v>
      </c>
      <c r="AY39" s="48">
        <f t="shared" si="16"/>
        <v>0</v>
      </c>
      <c r="AZ39" s="48">
        <f t="shared" si="17"/>
        <v>0</v>
      </c>
      <c r="BA39" s="48">
        <f t="shared" si="18"/>
        <v>0</v>
      </c>
      <c r="BB39" s="48">
        <f t="shared" si="19"/>
        <v>0</v>
      </c>
      <c r="BC39" s="48">
        <f t="shared" si="20"/>
        <v>0</v>
      </c>
      <c r="BD39" s="48">
        <f t="shared" si="21"/>
        <v>0</v>
      </c>
      <c r="BE39" s="48">
        <f t="shared" si="22"/>
        <v>0</v>
      </c>
      <c r="BF39" s="48">
        <f t="shared" si="23"/>
        <v>0</v>
      </c>
      <c r="BG39" s="48">
        <f t="shared" si="24"/>
        <v>0</v>
      </c>
      <c r="BH39" s="48">
        <f t="shared" si="25"/>
        <v>0</v>
      </c>
      <c r="BI39" s="48">
        <f t="shared" si="26"/>
        <v>0</v>
      </c>
      <c r="BJ39" s="48">
        <f t="shared" si="27"/>
        <v>0</v>
      </c>
      <c r="BK39" s="48">
        <f t="shared" si="28"/>
        <v>0</v>
      </c>
      <c r="BL39" s="48">
        <f t="shared" si="29"/>
        <v>0</v>
      </c>
      <c r="BM39" s="48">
        <f t="shared" si="30"/>
        <v>0</v>
      </c>
      <c r="BN39" s="48">
        <f t="shared" si="31"/>
        <v>0</v>
      </c>
      <c r="BO39" s="48">
        <f t="shared" si="32"/>
        <v>0</v>
      </c>
      <c r="BP39" s="48">
        <f t="shared" si="33"/>
        <v>0</v>
      </c>
      <c r="BQ39" s="48">
        <f t="shared" si="34"/>
        <v>0</v>
      </c>
      <c r="BR39" s="48">
        <f t="shared" si="35"/>
        <v>0</v>
      </c>
      <c r="BS39" s="48">
        <f t="shared" si="36"/>
        <v>0</v>
      </c>
      <c r="BT39" s="48">
        <f t="shared" si="37"/>
        <v>0</v>
      </c>
      <c r="BU39" s="48">
        <f t="shared" si="38"/>
        <v>0</v>
      </c>
      <c r="BV39" s="48">
        <f t="shared" si="39"/>
        <v>0</v>
      </c>
      <c r="BW39" s="48">
        <f t="shared" si="40"/>
        <v>0</v>
      </c>
      <c r="BX39" s="48">
        <f t="shared" si="41"/>
        <v>0</v>
      </c>
      <c r="BY39" s="48">
        <f t="shared" si="42"/>
        <v>0</v>
      </c>
      <c r="BZ39" s="48">
        <f t="shared" si="43"/>
        <v>0</v>
      </c>
      <c r="CA39" s="48">
        <f t="shared" si="44"/>
        <v>0</v>
      </c>
      <c r="CB39" s="48">
        <f t="shared" si="45"/>
        <v>0</v>
      </c>
      <c r="CC39" s="48">
        <f t="shared" si="46"/>
        <v>0</v>
      </c>
      <c r="CD39" s="48">
        <f t="shared" si="47"/>
        <v>0</v>
      </c>
      <c r="CE39" s="48">
        <f t="shared" si="48"/>
        <v>0</v>
      </c>
      <c r="CF39" s="48">
        <f t="shared" si="49"/>
        <v>0</v>
      </c>
      <c r="CG39" s="48">
        <f t="shared" si="50"/>
        <v>0</v>
      </c>
      <c r="CH39" s="48">
        <f t="shared" si="51"/>
        <v>0</v>
      </c>
      <c r="CI39" s="48">
        <f t="shared" si="52"/>
        <v>0</v>
      </c>
      <c r="CJ39" s="48">
        <f t="shared" si="53"/>
        <v>0</v>
      </c>
      <c r="CK39" s="48">
        <f t="shared" si="54"/>
        <v>0</v>
      </c>
      <c r="CL39" s="48">
        <f t="shared" si="55"/>
        <v>0</v>
      </c>
      <c r="CM39" s="48">
        <f t="shared" si="56"/>
        <v>0</v>
      </c>
      <c r="CN39" s="48">
        <f t="shared" si="57"/>
        <v>0</v>
      </c>
      <c r="CO39" s="48">
        <f t="shared" si="58"/>
        <v>0</v>
      </c>
      <c r="CP39" s="48">
        <f t="shared" si="59"/>
        <v>0</v>
      </c>
      <c r="CQ39" s="48">
        <f t="shared" si="60"/>
        <v>0</v>
      </c>
      <c r="CR39" s="48">
        <f t="shared" si="61"/>
        <v>0</v>
      </c>
      <c r="CS39" s="48">
        <f t="shared" si="62"/>
        <v>0</v>
      </c>
      <c r="CT39" s="48">
        <f t="shared" si="63"/>
        <v>0</v>
      </c>
      <c r="CU39" s="48">
        <f t="shared" si="64"/>
        <v>0</v>
      </c>
      <c r="CV39" s="48">
        <f t="shared" si="65"/>
        <v>0</v>
      </c>
      <c r="CW39" s="48">
        <f t="shared" si="66"/>
        <v>0</v>
      </c>
      <c r="CX39" s="48">
        <f t="shared" si="67"/>
        <v>0</v>
      </c>
      <c r="CY39" s="48">
        <f t="shared" si="68"/>
        <v>0</v>
      </c>
      <c r="CZ39" s="48">
        <f t="shared" si="69"/>
        <v>0</v>
      </c>
      <c r="DA39" s="48">
        <f t="shared" si="70"/>
        <v>0</v>
      </c>
      <c r="DB39" s="48">
        <f t="shared" si="71"/>
        <v>0</v>
      </c>
      <c r="DC39" s="48">
        <f t="shared" si="72"/>
        <v>0</v>
      </c>
      <c r="DD39" s="48">
        <f t="shared" si="73"/>
        <v>0</v>
      </c>
      <c r="DE39" s="48">
        <f t="shared" si="74"/>
        <v>0</v>
      </c>
      <c r="DF39" s="48">
        <f t="shared" si="75"/>
        <v>0</v>
      </c>
      <c r="DG39" s="48">
        <f t="shared" si="76"/>
        <v>0</v>
      </c>
      <c r="DH39" s="48">
        <f t="shared" si="77"/>
        <v>0</v>
      </c>
      <c r="DI39" s="48">
        <f t="shared" si="78"/>
        <v>0</v>
      </c>
      <c r="DJ39" s="48">
        <f t="shared" si="79"/>
        <v>0</v>
      </c>
      <c r="DK39" s="48">
        <f t="shared" si="80"/>
        <v>0</v>
      </c>
      <c r="DL39" s="48">
        <f t="shared" si="81"/>
        <v>0</v>
      </c>
      <c r="DM39" s="48">
        <f t="shared" si="82"/>
        <v>0</v>
      </c>
      <c r="DN39" s="48">
        <f t="shared" si="83"/>
        <v>0</v>
      </c>
      <c r="DO39" s="48">
        <f t="shared" si="84"/>
        <v>0</v>
      </c>
      <c r="DP39" s="48">
        <f t="shared" si="85"/>
        <v>0</v>
      </c>
      <c r="DQ39" s="48">
        <f t="shared" si="86"/>
        <v>0</v>
      </c>
      <c r="DR39" s="48">
        <f t="shared" si="87"/>
        <v>0</v>
      </c>
      <c r="DS39" s="48">
        <f t="shared" si="88"/>
        <v>0</v>
      </c>
      <c r="DT39" s="48">
        <f t="shared" si="89"/>
        <v>0</v>
      </c>
      <c r="DU39" s="48">
        <f t="shared" si="90"/>
        <v>0</v>
      </c>
      <c r="DV39" s="48">
        <f t="shared" si="91"/>
        <v>0</v>
      </c>
      <c r="DW39" s="48">
        <f t="shared" si="92"/>
        <v>0</v>
      </c>
      <c r="DX39" s="48">
        <f t="shared" si="93"/>
        <v>0</v>
      </c>
      <c r="DY39" s="48">
        <f t="shared" si="94"/>
        <v>0</v>
      </c>
      <c r="DZ39" s="48">
        <f t="shared" si="95"/>
        <v>0</v>
      </c>
      <c r="EA39" s="48">
        <f t="shared" si="96"/>
        <v>0</v>
      </c>
      <c r="EB39" s="48">
        <f t="shared" si="97"/>
        <v>0</v>
      </c>
      <c r="EC39" s="48">
        <f t="shared" si="98"/>
        <v>0</v>
      </c>
      <c r="ED39" s="48">
        <f t="shared" si="99"/>
        <v>0</v>
      </c>
      <c r="EE39" s="48">
        <f t="shared" si="100"/>
        <v>0</v>
      </c>
      <c r="EF39" s="48">
        <f t="shared" si="101"/>
        <v>0</v>
      </c>
      <c r="EG39" s="48">
        <f t="shared" si="102"/>
        <v>0</v>
      </c>
      <c r="EH39" s="48">
        <f t="shared" si="103"/>
        <v>0</v>
      </c>
      <c r="EI39" s="48">
        <f t="shared" si="104"/>
        <v>0</v>
      </c>
      <c r="EJ39" s="48">
        <f t="shared" si="105"/>
        <v>0</v>
      </c>
      <c r="EK39" s="48">
        <f t="shared" si="106"/>
        <v>0</v>
      </c>
      <c r="EL39" s="48">
        <f t="shared" si="107"/>
        <v>0</v>
      </c>
      <c r="EM39" s="48">
        <f t="shared" si="108"/>
        <v>0</v>
      </c>
      <c r="EN39" s="48">
        <f t="shared" si="109"/>
        <v>0</v>
      </c>
      <c r="EO39" s="48">
        <f t="shared" si="110"/>
        <v>0</v>
      </c>
      <c r="EP39" s="48">
        <f t="shared" si="111"/>
        <v>0</v>
      </c>
      <c r="EQ39" s="48">
        <f t="shared" si="112"/>
        <v>0</v>
      </c>
      <c r="ER39" s="48">
        <f t="shared" si="113"/>
        <v>0</v>
      </c>
      <c r="ES39" s="48">
        <f t="shared" si="114"/>
        <v>0</v>
      </c>
      <c r="ET39" s="48">
        <f t="shared" si="115"/>
        <v>0</v>
      </c>
      <c r="EU39" s="48">
        <f t="shared" si="116"/>
        <v>0</v>
      </c>
      <c r="EV39" s="48">
        <f t="shared" si="117"/>
        <v>0</v>
      </c>
      <c r="EW39" s="48">
        <f t="shared" si="118"/>
        <v>0</v>
      </c>
      <c r="EX39" s="48">
        <f t="shared" si="119"/>
        <v>0</v>
      </c>
      <c r="EY39" s="48">
        <f t="shared" si="120"/>
        <v>0</v>
      </c>
      <c r="EZ39" s="48">
        <f t="shared" si="121"/>
        <v>0</v>
      </c>
      <c r="FA39" s="48">
        <f t="shared" si="122"/>
        <v>0</v>
      </c>
      <c r="FB39" s="48">
        <f t="shared" si="123"/>
        <v>0</v>
      </c>
      <c r="FC39" s="48">
        <f t="shared" si="124"/>
        <v>0</v>
      </c>
      <c r="FD39" s="48">
        <f t="shared" si="125"/>
        <v>0</v>
      </c>
      <c r="FE39" s="48">
        <f t="shared" si="126"/>
        <v>0</v>
      </c>
      <c r="FF39" s="48">
        <f t="shared" si="127"/>
        <v>0</v>
      </c>
      <c r="FG39" s="48">
        <f t="shared" si="128"/>
        <v>0</v>
      </c>
      <c r="FH39" s="48">
        <f t="shared" si="129"/>
        <v>0</v>
      </c>
      <c r="FI39" s="48">
        <f t="shared" si="130"/>
        <v>0</v>
      </c>
      <c r="FJ39" s="48">
        <f t="shared" si="131"/>
        <v>0</v>
      </c>
      <c r="FK39" s="48">
        <f t="shared" si="132"/>
        <v>0</v>
      </c>
      <c r="FL39" s="48">
        <f t="shared" si="133"/>
        <v>0</v>
      </c>
      <c r="FM39" s="48">
        <f t="shared" si="134"/>
        <v>0</v>
      </c>
      <c r="FN39" s="48">
        <f t="shared" si="135"/>
        <v>0</v>
      </c>
      <c r="FO39" s="48">
        <f t="shared" si="136"/>
        <v>0</v>
      </c>
      <c r="FP39" s="48">
        <f t="shared" si="137"/>
        <v>0</v>
      </c>
      <c r="FQ39" s="48">
        <f t="shared" si="138"/>
        <v>0</v>
      </c>
      <c r="FR39" s="48">
        <f t="shared" si="139"/>
        <v>0</v>
      </c>
      <c r="FS39" s="48">
        <f t="shared" si="140"/>
        <v>0</v>
      </c>
      <c r="FT39" s="48">
        <f t="shared" si="141"/>
        <v>0</v>
      </c>
      <c r="FU39" s="48">
        <f t="shared" si="142"/>
        <v>0</v>
      </c>
      <c r="FV39" s="48">
        <f t="shared" si="143"/>
        <v>0</v>
      </c>
      <c r="FW39" s="48">
        <f t="shared" si="144"/>
        <v>0</v>
      </c>
      <c r="FX39" s="48">
        <f t="shared" si="145"/>
        <v>0</v>
      </c>
      <c r="FY39" s="48">
        <f t="shared" si="146"/>
        <v>0</v>
      </c>
      <c r="FZ39" s="48">
        <f t="shared" si="147"/>
        <v>0</v>
      </c>
      <c r="GA39" s="48">
        <f t="shared" si="148"/>
        <v>0</v>
      </c>
      <c r="GB39" s="48">
        <f t="shared" si="149"/>
        <v>0</v>
      </c>
      <c r="GC39" s="48">
        <f t="shared" si="150"/>
        <v>0</v>
      </c>
      <c r="GG39">
        <f t="shared" si="151"/>
        <v>0</v>
      </c>
    </row>
    <row r="40" spans="1:189" x14ac:dyDescent="0.25">
      <c r="A40" s="690"/>
      <c r="B40" s="690"/>
      <c r="C40" s="690"/>
      <c r="D40" s="690"/>
      <c r="E40" s="690"/>
      <c r="F40" s="690"/>
      <c r="G40" s="889"/>
      <c r="H40" s="690"/>
      <c r="I40" s="690"/>
      <c r="J40" s="690"/>
      <c r="K40" s="690"/>
      <c r="L40" s="690"/>
      <c r="M40" s="690"/>
      <c r="N40" s="507" t="str">
        <f t="shared" si="159"/>
        <v/>
      </c>
      <c r="O40" s="690"/>
      <c r="P40" s="507" t="str">
        <f t="shared" si="158"/>
        <v/>
      </c>
      <c r="Q40" s="690"/>
      <c r="R40" s="690"/>
      <c r="S40" s="690"/>
      <c r="T40" s="690"/>
      <c r="U40">
        <f t="shared" si="152"/>
        <v>0</v>
      </c>
      <c r="V40">
        <f t="shared" si="153"/>
        <v>0</v>
      </c>
      <c r="X40">
        <f t="shared" si="154"/>
        <v>0</v>
      </c>
      <c r="Y40">
        <f t="shared" si="155"/>
        <v>0</v>
      </c>
      <c r="Z40">
        <f t="shared" si="156"/>
        <v>0</v>
      </c>
      <c r="AA40">
        <f t="shared" si="157"/>
        <v>0</v>
      </c>
      <c r="AB40" s="25"/>
      <c r="AC40" s="25"/>
      <c r="AD40" s="25"/>
      <c r="AF40" s="48" t="s">
        <v>695</v>
      </c>
      <c r="AG40" s="689"/>
      <c r="AH40" s="689"/>
      <c r="AI40" s="48">
        <f t="shared" si="0"/>
        <v>0</v>
      </c>
      <c r="AJ40" s="48">
        <f t="shared" si="1"/>
        <v>0</v>
      </c>
      <c r="AK40" s="48">
        <f t="shared" si="2"/>
        <v>0</v>
      </c>
      <c r="AL40" s="48">
        <f t="shared" si="3"/>
        <v>0</v>
      </c>
      <c r="AM40" s="48">
        <f t="shared" si="4"/>
        <v>0</v>
      </c>
      <c r="AN40" s="48">
        <f t="shared" si="5"/>
        <v>0</v>
      </c>
      <c r="AO40" s="48">
        <f t="shared" si="6"/>
        <v>0</v>
      </c>
      <c r="AP40" s="48">
        <f t="shared" si="7"/>
        <v>0</v>
      </c>
      <c r="AQ40" s="48">
        <f t="shared" si="8"/>
        <v>0</v>
      </c>
      <c r="AR40" s="48">
        <f t="shared" si="9"/>
        <v>0</v>
      </c>
      <c r="AS40" s="48">
        <f t="shared" si="10"/>
        <v>0</v>
      </c>
      <c r="AT40" s="48">
        <f t="shared" si="11"/>
        <v>0</v>
      </c>
      <c r="AU40" s="48">
        <f t="shared" si="12"/>
        <v>0</v>
      </c>
      <c r="AV40" s="48">
        <f t="shared" si="13"/>
        <v>0</v>
      </c>
      <c r="AW40" s="48">
        <f t="shared" si="14"/>
        <v>0</v>
      </c>
      <c r="AX40" s="48">
        <f t="shared" si="15"/>
        <v>0</v>
      </c>
      <c r="AY40" s="48">
        <f t="shared" si="16"/>
        <v>0</v>
      </c>
      <c r="AZ40" s="48">
        <f t="shared" si="17"/>
        <v>0</v>
      </c>
      <c r="BA40" s="48">
        <f t="shared" si="18"/>
        <v>0</v>
      </c>
      <c r="BB40" s="48">
        <f t="shared" si="19"/>
        <v>0</v>
      </c>
      <c r="BC40" s="48">
        <f t="shared" si="20"/>
        <v>0</v>
      </c>
      <c r="BD40" s="48">
        <f t="shared" si="21"/>
        <v>0</v>
      </c>
      <c r="BE40" s="48">
        <f t="shared" si="22"/>
        <v>0</v>
      </c>
      <c r="BF40" s="48">
        <f t="shared" si="23"/>
        <v>0</v>
      </c>
      <c r="BG40" s="48">
        <f t="shared" si="24"/>
        <v>0</v>
      </c>
      <c r="BH40" s="48">
        <f t="shared" si="25"/>
        <v>0</v>
      </c>
      <c r="BI40" s="48">
        <f t="shared" si="26"/>
        <v>0</v>
      </c>
      <c r="BJ40" s="48">
        <f t="shared" si="27"/>
        <v>0</v>
      </c>
      <c r="BK40" s="48">
        <f t="shared" si="28"/>
        <v>0</v>
      </c>
      <c r="BL40" s="48">
        <f t="shared" si="29"/>
        <v>0</v>
      </c>
      <c r="BM40" s="48">
        <f t="shared" si="30"/>
        <v>0</v>
      </c>
      <c r="BN40" s="48">
        <f t="shared" si="31"/>
        <v>0</v>
      </c>
      <c r="BO40" s="48">
        <f t="shared" si="32"/>
        <v>0</v>
      </c>
      <c r="BP40" s="48">
        <f t="shared" si="33"/>
        <v>0</v>
      </c>
      <c r="BQ40" s="48">
        <f t="shared" si="34"/>
        <v>0</v>
      </c>
      <c r="BR40" s="48">
        <f t="shared" si="35"/>
        <v>0</v>
      </c>
      <c r="BS40" s="48">
        <f t="shared" si="36"/>
        <v>0</v>
      </c>
      <c r="BT40" s="48">
        <f t="shared" si="37"/>
        <v>0</v>
      </c>
      <c r="BU40" s="48">
        <f t="shared" si="38"/>
        <v>0</v>
      </c>
      <c r="BV40" s="48">
        <f t="shared" si="39"/>
        <v>0</v>
      </c>
      <c r="BW40" s="48">
        <f t="shared" si="40"/>
        <v>0</v>
      </c>
      <c r="BX40" s="48">
        <f t="shared" si="41"/>
        <v>0</v>
      </c>
      <c r="BY40" s="48">
        <f t="shared" si="42"/>
        <v>0</v>
      </c>
      <c r="BZ40" s="48">
        <f t="shared" si="43"/>
        <v>0</v>
      </c>
      <c r="CA40" s="48">
        <f t="shared" si="44"/>
        <v>0</v>
      </c>
      <c r="CB40" s="48">
        <f t="shared" si="45"/>
        <v>0</v>
      </c>
      <c r="CC40" s="48">
        <f t="shared" si="46"/>
        <v>0</v>
      </c>
      <c r="CD40" s="48">
        <f t="shared" si="47"/>
        <v>0</v>
      </c>
      <c r="CE40" s="48">
        <f t="shared" si="48"/>
        <v>0</v>
      </c>
      <c r="CF40" s="48">
        <f t="shared" si="49"/>
        <v>0</v>
      </c>
      <c r="CG40" s="48">
        <f t="shared" si="50"/>
        <v>0</v>
      </c>
      <c r="CH40" s="48">
        <f t="shared" si="51"/>
        <v>0</v>
      </c>
      <c r="CI40" s="48">
        <f t="shared" si="52"/>
        <v>0</v>
      </c>
      <c r="CJ40" s="48">
        <f t="shared" si="53"/>
        <v>0</v>
      </c>
      <c r="CK40" s="48">
        <f t="shared" si="54"/>
        <v>0</v>
      </c>
      <c r="CL40" s="48">
        <f t="shared" si="55"/>
        <v>0</v>
      </c>
      <c r="CM40" s="48">
        <f t="shared" si="56"/>
        <v>0</v>
      </c>
      <c r="CN40" s="48">
        <f t="shared" si="57"/>
        <v>0</v>
      </c>
      <c r="CO40" s="48">
        <f t="shared" si="58"/>
        <v>0</v>
      </c>
      <c r="CP40" s="48">
        <f t="shared" si="59"/>
        <v>0</v>
      </c>
      <c r="CQ40" s="48">
        <f t="shared" si="60"/>
        <v>0</v>
      </c>
      <c r="CR40" s="48">
        <f t="shared" si="61"/>
        <v>0</v>
      </c>
      <c r="CS40" s="48">
        <f t="shared" si="62"/>
        <v>0</v>
      </c>
      <c r="CT40" s="48">
        <f t="shared" si="63"/>
        <v>0</v>
      </c>
      <c r="CU40" s="48">
        <f t="shared" si="64"/>
        <v>0</v>
      </c>
      <c r="CV40" s="48">
        <f t="shared" si="65"/>
        <v>0</v>
      </c>
      <c r="CW40" s="48">
        <f t="shared" si="66"/>
        <v>0</v>
      </c>
      <c r="CX40" s="48">
        <f t="shared" si="67"/>
        <v>0</v>
      </c>
      <c r="CY40" s="48">
        <f t="shared" si="68"/>
        <v>0</v>
      </c>
      <c r="CZ40" s="48">
        <f t="shared" si="69"/>
        <v>0</v>
      </c>
      <c r="DA40" s="48">
        <f t="shared" si="70"/>
        <v>0</v>
      </c>
      <c r="DB40" s="48">
        <f t="shared" si="71"/>
        <v>0</v>
      </c>
      <c r="DC40" s="48">
        <f t="shared" si="72"/>
        <v>0</v>
      </c>
      <c r="DD40" s="48">
        <f t="shared" si="73"/>
        <v>0</v>
      </c>
      <c r="DE40" s="48">
        <f t="shared" si="74"/>
        <v>0</v>
      </c>
      <c r="DF40" s="48">
        <f t="shared" si="75"/>
        <v>0</v>
      </c>
      <c r="DG40" s="48">
        <f t="shared" si="76"/>
        <v>0</v>
      </c>
      <c r="DH40" s="48">
        <f t="shared" si="77"/>
        <v>0</v>
      </c>
      <c r="DI40" s="48">
        <f t="shared" si="78"/>
        <v>0</v>
      </c>
      <c r="DJ40" s="48">
        <f t="shared" si="79"/>
        <v>0</v>
      </c>
      <c r="DK40" s="48">
        <f t="shared" si="80"/>
        <v>0</v>
      </c>
      <c r="DL40" s="48">
        <f t="shared" si="81"/>
        <v>0</v>
      </c>
      <c r="DM40" s="48">
        <f t="shared" si="82"/>
        <v>0</v>
      </c>
      <c r="DN40" s="48">
        <f t="shared" si="83"/>
        <v>0</v>
      </c>
      <c r="DO40" s="48">
        <f t="shared" si="84"/>
        <v>0</v>
      </c>
      <c r="DP40" s="48">
        <f t="shared" si="85"/>
        <v>0</v>
      </c>
      <c r="DQ40" s="48">
        <f t="shared" si="86"/>
        <v>0</v>
      </c>
      <c r="DR40" s="48">
        <f t="shared" si="87"/>
        <v>0</v>
      </c>
      <c r="DS40" s="48">
        <f t="shared" si="88"/>
        <v>0</v>
      </c>
      <c r="DT40" s="48">
        <f t="shared" si="89"/>
        <v>0</v>
      </c>
      <c r="DU40" s="48">
        <f t="shared" si="90"/>
        <v>0</v>
      </c>
      <c r="DV40" s="48">
        <f t="shared" si="91"/>
        <v>0</v>
      </c>
      <c r="DW40" s="48">
        <f t="shared" si="92"/>
        <v>0</v>
      </c>
      <c r="DX40" s="48">
        <f t="shared" si="93"/>
        <v>0</v>
      </c>
      <c r="DY40" s="48">
        <f t="shared" si="94"/>
        <v>0</v>
      </c>
      <c r="DZ40" s="48">
        <f t="shared" si="95"/>
        <v>0</v>
      </c>
      <c r="EA40" s="48">
        <f t="shared" si="96"/>
        <v>0</v>
      </c>
      <c r="EB40" s="48">
        <f t="shared" si="97"/>
        <v>0</v>
      </c>
      <c r="EC40" s="48">
        <f t="shared" si="98"/>
        <v>0</v>
      </c>
      <c r="ED40" s="48">
        <f t="shared" si="99"/>
        <v>0</v>
      </c>
      <c r="EE40" s="48">
        <f t="shared" si="100"/>
        <v>0</v>
      </c>
      <c r="EF40" s="48">
        <f t="shared" si="101"/>
        <v>0</v>
      </c>
      <c r="EG40" s="48">
        <f t="shared" si="102"/>
        <v>0</v>
      </c>
      <c r="EH40" s="48">
        <f t="shared" si="103"/>
        <v>0</v>
      </c>
      <c r="EI40" s="48">
        <f t="shared" si="104"/>
        <v>0</v>
      </c>
      <c r="EJ40" s="48">
        <f t="shared" si="105"/>
        <v>0</v>
      </c>
      <c r="EK40" s="48">
        <f t="shared" si="106"/>
        <v>0</v>
      </c>
      <c r="EL40" s="48">
        <f t="shared" si="107"/>
        <v>0</v>
      </c>
      <c r="EM40" s="48">
        <f t="shared" si="108"/>
        <v>0</v>
      </c>
      <c r="EN40" s="48">
        <f t="shared" si="109"/>
        <v>0</v>
      </c>
      <c r="EO40" s="48">
        <f t="shared" si="110"/>
        <v>0</v>
      </c>
      <c r="EP40" s="48">
        <f t="shared" si="111"/>
        <v>0</v>
      </c>
      <c r="EQ40" s="48">
        <f t="shared" si="112"/>
        <v>0</v>
      </c>
      <c r="ER40" s="48">
        <f t="shared" si="113"/>
        <v>0</v>
      </c>
      <c r="ES40" s="48">
        <f t="shared" si="114"/>
        <v>0</v>
      </c>
      <c r="ET40" s="48">
        <f t="shared" si="115"/>
        <v>0</v>
      </c>
      <c r="EU40" s="48">
        <f t="shared" si="116"/>
        <v>0</v>
      </c>
      <c r="EV40" s="48">
        <f t="shared" si="117"/>
        <v>0</v>
      </c>
      <c r="EW40" s="48">
        <f t="shared" si="118"/>
        <v>0</v>
      </c>
      <c r="EX40" s="48">
        <f t="shared" si="119"/>
        <v>0</v>
      </c>
      <c r="EY40" s="48">
        <f t="shared" si="120"/>
        <v>0</v>
      </c>
      <c r="EZ40" s="48">
        <f t="shared" si="121"/>
        <v>0</v>
      </c>
      <c r="FA40" s="48">
        <f t="shared" si="122"/>
        <v>0</v>
      </c>
      <c r="FB40" s="48">
        <f t="shared" si="123"/>
        <v>0</v>
      </c>
      <c r="FC40" s="48">
        <f t="shared" si="124"/>
        <v>0</v>
      </c>
      <c r="FD40" s="48">
        <f t="shared" si="125"/>
        <v>0</v>
      </c>
      <c r="FE40" s="48">
        <f t="shared" si="126"/>
        <v>0</v>
      </c>
      <c r="FF40" s="48">
        <f t="shared" si="127"/>
        <v>0</v>
      </c>
      <c r="FG40" s="48">
        <f t="shared" si="128"/>
        <v>0</v>
      </c>
      <c r="FH40" s="48">
        <f t="shared" si="129"/>
        <v>0</v>
      </c>
      <c r="FI40" s="48">
        <f t="shared" si="130"/>
        <v>0</v>
      </c>
      <c r="FJ40" s="48">
        <f t="shared" si="131"/>
        <v>0</v>
      </c>
      <c r="FK40" s="48">
        <f t="shared" si="132"/>
        <v>0</v>
      </c>
      <c r="FL40" s="48">
        <f t="shared" si="133"/>
        <v>0</v>
      </c>
      <c r="FM40" s="48">
        <f t="shared" si="134"/>
        <v>0</v>
      </c>
      <c r="FN40" s="48">
        <f t="shared" si="135"/>
        <v>0</v>
      </c>
      <c r="FO40" s="48">
        <f t="shared" si="136"/>
        <v>0</v>
      </c>
      <c r="FP40" s="48">
        <f t="shared" si="137"/>
        <v>0</v>
      </c>
      <c r="FQ40" s="48">
        <f t="shared" si="138"/>
        <v>0</v>
      </c>
      <c r="FR40" s="48">
        <f t="shared" si="139"/>
        <v>0</v>
      </c>
      <c r="FS40" s="48">
        <f t="shared" si="140"/>
        <v>0</v>
      </c>
      <c r="FT40" s="48">
        <f t="shared" si="141"/>
        <v>0</v>
      </c>
      <c r="FU40" s="48">
        <f t="shared" si="142"/>
        <v>0</v>
      </c>
      <c r="FV40" s="48">
        <f t="shared" si="143"/>
        <v>0</v>
      </c>
      <c r="FW40" s="48">
        <f t="shared" si="144"/>
        <v>0</v>
      </c>
      <c r="FX40" s="48">
        <f t="shared" si="145"/>
        <v>0</v>
      </c>
      <c r="FY40" s="48">
        <f t="shared" si="146"/>
        <v>0</v>
      </c>
      <c r="FZ40" s="48">
        <f t="shared" si="147"/>
        <v>0</v>
      </c>
      <c r="GA40" s="48">
        <f t="shared" si="148"/>
        <v>0</v>
      </c>
      <c r="GB40" s="48">
        <f t="shared" si="149"/>
        <v>0</v>
      </c>
      <c r="GC40" s="48">
        <f t="shared" si="150"/>
        <v>0</v>
      </c>
      <c r="GG40">
        <f t="shared" si="151"/>
        <v>0</v>
      </c>
    </row>
    <row r="41" spans="1:189" x14ac:dyDescent="0.25">
      <c r="A41" s="690"/>
      <c r="B41" s="690"/>
      <c r="C41" s="690"/>
      <c r="D41" s="690"/>
      <c r="E41" s="690"/>
      <c r="F41" s="690"/>
      <c r="G41" s="889"/>
      <c r="H41" s="690"/>
      <c r="I41" s="690"/>
      <c r="J41" s="690"/>
      <c r="K41" s="690"/>
      <c r="L41" s="690"/>
      <c r="M41" s="690"/>
      <c r="N41" s="507" t="str">
        <f t="shared" si="159"/>
        <v/>
      </c>
      <c r="O41" s="690"/>
      <c r="P41" s="507" t="str">
        <f t="shared" si="158"/>
        <v/>
      </c>
      <c r="Q41" s="690"/>
      <c r="R41" s="690"/>
      <c r="S41" s="690"/>
      <c r="T41" s="690"/>
      <c r="U41">
        <f t="shared" si="152"/>
        <v>0</v>
      </c>
      <c r="V41">
        <f t="shared" si="153"/>
        <v>0</v>
      </c>
      <c r="X41">
        <f t="shared" si="154"/>
        <v>0</v>
      </c>
      <c r="Y41">
        <f t="shared" si="155"/>
        <v>0</v>
      </c>
      <c r="Z41">
        <f t="shared" si="156"/>
        <v>0</v>
      </c>
      <c r="AA41">
        <f t="shared" si="157"/>
        <v>0</v>
      </c>
      <c r="AB41" s="25"/>
      <c r="AC41" s="25"/>
      <c r="AD41" s="25"/>
      <c r="AF41" s="48" t="s">
        <v>696</v>
      </c>
      <c r="AG41" s="689"/>
      <c r="AH41" s="689"/>
      <c r="AI41" s="48">
        <f t="shared" si="0"/>
        <v>0</v>
      </c>
      <c r="AJ41" s="48">
        <f t="shared" si="1"/>
        <v>0</v>
      </c>
      <c r="AK41" s="48">
        <f t="shared" si="2"/>
        <v>0</v>
      </c>
      <c r="AL41" s="48">
        <f t="shared" si="3"/>
        <v>0</v>
      </c>
      <c r="AM41" s="48">
        <f t="shared" si="4"/>
        <v>0</v>
      </c>
      <c r="AN41" s="48">
        <f t="shared" si="5"/>
        <v>0</v>
      </c>
      <c r="AO41" s="48">
        <f t="shared" si="6"/>
        <v>0</v>
      </c>
      <c r="AP41" s="48">
        <f t="shared" si="7"/>
        <v>0</v>
      </c>
      <c r="AQ41" s="48">
        <f t="shared" si="8"/>
        <v>0</v>
      </c>
      <c r="AR41" s="48">
        <f t="shared" si="9"/>
        <v>0</v>
      </c>
      <c r="AS41" s="48">
        <f t="shared" si="10"/>
        <v>0</v>
      </c>
      <c r="AT41" s="48">
        <f t="shared" si="11"/>
        <v>0</v>
      </c>
      <c r="AU41" s="48">
        <f t="shared" si="12"/>
        <v>0</v>
      </c>
      <c r="AV41" s="48">
        <f t="shared" si="13"/>
        <v>0</v>
      </c>
      <c r="AW41" s="48">
        <f t="shared" si="14"/>
        <v>0</v>
      </c>
      <c r="AX41" s="48">
        <f t="shared" si="15"/>
        <v>0</v>
      </c>
      <c r="AY41" s="48">
        <f t="shared" si="16"/>
        <v>0</v>
      </c>
      <c r="AZ41" s="48">
        <f t="shared" si="17"/>
        <v>0</v>
      </c>
      <c r="BA41" s="48">
        <f t="shared" si="18"/>
        <v>0</v>
      </c>
      <c r="BB41" s="48">
        <f t="shared" si="19"/>
        <v>0</v>
      </c>
      <c r="BC41" s="48">
        <f t="shared" si="20"/>
        <v>0</v>
      </c>
      <c r="BD41" s="48">
        <f t="shared" si="21"/>
        <v>0</v>
      </c>
      <c r="BE41" s="48">
        <f t="shared" si="22"/>
        <v>0</v>
      </c>
      <c r="BF41" s="48">
        <f t="shared" si="23"/>
        <v>0</v>
      </c>
      <c r="BG41" s="48">
        <f t="shared" si="24"/>
        <v>0</v>
      </c>
      <c r="BH41" s="48">
        <f t="shared" si="25"/>
        <v>0</v>
      </c>
      <c r="BI41" s="48">
        <f t="shared" si="26"/>
        <v>0</v>
      </c>
      <c r="BJ41" s="48">
        <f t="shared" si="27"/>
        <v>0</v>
      </c>
      <c r="BK41" s="48">
        <f t="shared" si="28"/>
        <v>0</v>
      </c>
      <c r="BL41" s="48">
        <f t="shared" si="29"/>
        <v>0</v>
      </c>
      <c r="BM41" s="48">
        <f t="shared" si="30"/>
        <v>0</v>
      </c>
      <c r="BN41" s="48">
        <f t="shared" si="31"/>
        <v>0</v>
      </c>
      <c r="BO41" s="48">
        <f t="shared" si="32"/>
        <v>0</v>
      </c>
      <c r="BP41" s="48">
        <f t="shared" si="33"/>
        <v>0</v>
      </c>
      <c r="BQ41" s="48">
        <f t="shared" si="34"/>
        <v>0</v>
      </c>
      <c r="BR41" s="48">
        <f t="shared" si="35"/>
        <v>0</v>
      </c>
      <c r="BS41" s="48">
        <f t="shared" si="36"/>
        <v>0</v>
      </c>
      <c r="BT41" s="48">
        <f t="shared" si="37"/>
        <v>0</v>
      </c>
      <c r="BU41" s="48">
        <f t="shared" si="38"/>
        <v>0</v>
      </c>
      <c r="BV41" s="48">
        <f t="shared" si="39"/>
        <v>0</v>
      </c>
      <c r="BW41" s="48">
        <f t="shared" si="40"/>
        <v>0</v>
      </c>
      <c r="BX41" s="48">
        <f t="shared" si="41"/>
        <v>0</v>
      </c>
      <c r="BY41" s="48">
        <f t="shared" si="42"/>
        <v>0</v>
      </c>
      <c r="BZ41" s="48">
        <f t="shared" si="43"/>
        <v>0</v>
      </c>
      <c r="CA41" s="48">
        <f t="shared" si="44"/>
        <v>0</v>
      </c>
      <c r="CB41" s="48">
        <f t="shared" si="45"/>
        <v>0</v>
      </c>
      <c r="CC41" s="48">
        <f t="shared" si="46"/>
        <v>0</v>
      </c>
      <c r="CD41" s="48">
        <f t="shared" si="47"/>
        <v>0</v>
      </c>
      <c r="CE41" s="48">
        <f t="shared" si="48"/>
        <v>0</v>
      </c>
      <c r="CF41" s="48">
        <f t="shared" si="49"/>
        <v>0</v>
      </c>
      <c r="CG41" s="48">
        <f t="shared" si="50"/>
        <v>0</v>
      </c>
      <c r="CH41" s="48">
        <f t="shared" si="51"/>
        <v>0</v>
      </c>
      <c r="CI41" s="48">
        <f t="shared" si="52"/>
        <v>0</v>
      </c>
      <c r="CJ41" s="48">
        <f t="shared" si="53"/>
        <v>0</v>
      </c>
      <c r="CK41" s="48">
        <f t="shared" si="54"/>
        <v>0</v>
      </c>
      <c r="CL41" s="48">
        <f t="shared" si="55"/>
        <v>0</v>
      </c>
      <c r="CM41" s="48">
        <f t="shared" si="56"/>
        <v>0</v>
      </c>
      <c r="CN41" s="48">
        <f t="shared" si="57"/>
        <v>0</v>
      </c>
      <c r="CO41" s="48">
        <f t="shared" si="58"/>
        <v>0</v>
      </c>
      <c r="CP41" s="48">
        <f t="shared" si="59"/>
        <v>0</v>
      </c>
      <c r="CQ41" s="48">
        <f t="shared" si="60"/>
        <v>0</v>
      </c>
      <c r="CR41" s="48">
        <f t="shared" si="61"/>
        <v>0</v>
      </c>
      <c r="CS41" s="48">
        <f t="shared" si="62"/>
        <v>0</v>
      </c>
      <c r="CT41" s="48">
        <f t="shared" si="63"/>
        <v>0</v>
      </c>
      <c r="CU41" s="48">
        <f t="shared" si="64"/>
        <v>0</v>
      </c>
      <c r="CV41" s="48">
        <f t="shared" si="65"/>
        <v>0</v>
      </c>
      <c r="CW41" s="48">
        <f t="shared" si="66"/>
        <v>0</v>
      </c>
      <c r="CX41" s="48">
        <f t="shared" si="67"/>
        <v>0</v>
      </c>
      <c r="CY41" s="48">
        <f t="shared" si="68"/>
        <v>0</v>
      </c>
      <c r="CZ41" s="48">
        <f t="shared" si="69"/>
        <v>0</v>
      </c>
      <c r="DA41" s="48">
        <f t="shared" si="70"/>
        <v>0</v>
      </c>
      <c r="DB41" s="48">
        <f t="shared" si="71"/>
        <v>0</v>
      </c>
      <c r="DC41" s="48">
        <f t="shared" si="72"/>
        <v>0</v>
      </c>
      <c r="DD41" s="48">
        <f t="shared" si="73"/>
        <v>0</v>
      </c>
      <c r="DE41" s="48">
        <f t="shared" si="74"/>
        <v>0</v>
      </c>
      <c r="DF41" s="48">
        <f t="shared" si="75"/>
        <v>0</v>
      </c>
      <c r="DG41" s="48">
        <f t="shared" si="76"/>
        <v>0</v>
      </c>
      <c r="DH41" s="48">
        <f t="shared" si="77"/>
        <v>0</v>
      </c>
      <c r="DI41" s="48">
        <f t="shared" si="78"/>
        <v>0</v>
      </c>
      <c r="DJ41" s="48">
        <f t="shared" si="79"/>
        <v>0</v>
      </c>
      <c r="DK41" s="48">
        <f t="shared" si="80"/>
        <v>0</v>
      </c>
      <c r="DL41" s="48">
        <f t="shared" si="81"/>
        <v>0</v>
      </c>
      <c r="DM41" s="48">
        <f t="shared" si="82"/>
        <v>0</v>
      </c>
      <c r="DN41" s="48">
        <f t="shared" si="83"/>
        <v>0</v>
      </c>
      <c r="DO41" s="48">
        <f t="shared" si="84"/>
        <v>0</v>
      </c>
      <c r="DP41" s="48">
        <f t="shared" si="85"/>
        <v>0</v>
      </c>
      <c r="DQ41" s="48">
        <f t="shared" si="86"/>
        <v>0</v>
      </c>
      <c r="DR41" s="48">
        <f t="shared" si="87"/>
        <v>0</v>
      </c>
      <c r="DS41" s="48">
        <f t="shared" si="88"/>
        <v>0</v>
      </c>
      <c r="DT41" s="48">
        <f t="shared" si="89"/>
        <v>0</v>
      </c>
      <c r="DU41" s="48">
        <f t="shared" si="90"/>
        <v>0</v>
      </c>
      <c r="DV41" s="48">
        <f t="shared" si="91"/>
        <v>0</v>
      </c>
      <c r="DW41" s="48">
        <f t="shared" si="92"/>
        <v>0</v>
      </c>
      <c r="DX41" s="48">
        <f t="shared" si="93"/>
        <v>0</v>
      </c>
      <c r="DY41" s="48">
        <f t="shared" si="94"/>
        <v>0</v>
      </c>
      <c r="DZ41" s="48">
        <f t="shared" si="95"/>
        <v>0</v>
      </c>
      <c r="EA41" s="48">
        <f t="shared" si="96"/>
        <v>0</v>
      </c>
      <c r="EB41" s="48">
        <f t="shared" si="97"/>
        <v>0</v>
      </c>
      <c r="EC41" s="48">
        <f t="shared" si="98"/>
        <v>0</v>
      </c>
      <c r="ED41" s="48">
        <f t="shared" si="99"/>
        <v>0</v>
      </c>
      <c r="EE41" s="48">
        <f t="shared" si="100"/>
        <v>0</v>
      </c>
      <c r="EF41" s="48">
        <f t="shared" si="101"/>
        <v>0</v>
      </c>
      <c r="EG41" s="48">
        <f t="shared" si="102"/>
        <v>0</v>
      </c>
      <c r="EH41" s="48">
        <f t="shared" si="103"/>
        <v>0</v>
      </c>
      <c r="EI41" s="48">
        <f t="shared" si="104"/>
        <v>0</v>
      </c>
      <c r="EJ41" s="48">
        <f t="shared" si="105"/>
        <v>0</v>
      </c>
      <c r="EK41" s="48">
        <f t="shared" si="106"/>
        <v>0</v>
      </c>
      <c r="EL41" s="48">
        <f t="shared" si="107"/>
        <v>0</v>
      </c>
      <c r="EM41" s="48">
        <f t="shared" si="108"/>
        <v>0</v>
      </c>
      <c r="EN41" s="48">
        <f t="shared" si="109"/>
        <v>0</v>
      </c>
      <c r="EO41" s="48">
        <f t="shared" si="110"/>
        <v>0</v>
      </c>
      <c r="EP41" s="48">
        <f t="shared" si="111"/>
        <v>0</v>
      </c>
      <c r="EQ41" s="48">
        <f t="shared" si="112"/>
        <v>0</v>
      </c>
      <c r="ER41" s="48">
        <f t="shared" si="113"/>
        <v>0</v>
      </c>
      <c r="ES41" s="48">
        <f t="shared" si="114"/>
        <v>0</v>
      </c>
      <c r="ET41" s="48">
        <f t="shared" si="115"/>
        <v>0</v>
      </c>
      <c r="EU41" s="48">
        <f t="shared" si="116"/>
        <v>0</v>
      </c>
      <c r="EV41" s="48">
        <f t="shared" si="117"/>
        <v>0</v>
      </c>
      <c r="EW41" s="48">
        <f t="shared" si="118"/>
        <v>0</v>
      </c>
      <c r="EX41" s="48">
        <f t="shared" si="119"/>
        <v>0</v>
      </c>
      <c r="EY41" s="48">
        <f t="shared" si="120"/>
        <v>0</v>
      </c>
      <c r="EZ41" s="48">
        <f t="shared" si="121"/>
        <v>0</v>
      </c>
      <c r="FA41" s="48">
        <f t="shared" si="122"/>
        <v>0</v>
      </c>
      <c r="FB41" s="48">
        <f t="shared" si="123"/>
        <v>0</v>
      </c>
      <c r="FC41" s="48">
        <f t="shared" si="124"/>
        <v>0</v>
      </c>
      <c r="FD41" s="48">
        <f t="shared" si="125"/>
        <v>0</v>
      </c>
      <c r="FE41" s="48">
        <f t="shared" si="126"/>
        <v>0</v>
      </c>
      <c r="FF41" s="48">
        <f t="shared" si="127"/>
        <v>0</v>
      </c>
      <c r="FG41" s="48">
        <f t="shared" si="128"/>
        <v>0</v>
      </c>
      <c r="FH41" s="48">
        <f t="shared" si="129"/>
        <v>0</v>
      </c>
      <c r="FI41" s="48">
        <f t="shared" si="130"/>
        <v>0</v>
      </c>
      <c r="FJ41" s="48">
        <f t="shared" si="131"/>
        <v>0</v>
      </c>
      <c r="FK41" s="48">
        <f t="shared" si="132"/>
        <v>0</v>
      </c>
      <c r="FL41" s="48">
        <f t="shared" si="133"/>
        <v>0</v>
      </c>
      <c r="FM41" s="48">
        <f t="shared" si="134"/>
        <v>0</v>
      </c>
      <c r="FN41" s="48">
        <f t="shared" si="135"/>
        <v>0</v>
      </c>
      <c r="FO41" s="48">
        <f t="shared" si="136"/>
        <v>0</v>
      </c>
      <c r="FP41" s="48">
        <f t="shared" si="137"/>
        <v>0</v>
      </c>
      <c r="FQ41" s="48">
        <f t="shared" si="138"/>
        <v>0</v>
      </c>
      <c r="FR41" s="48">
        <f t="shared" si="139"/>
        <v>0</v>
      </c>
      <c r="FS41" s="48">
        <f t="shared" si="140"/>
        <v>0</v>
      </c>
      <c r="FT41" s="48">
        <f t="shared" si="141"/>
        <v>0</v>
      </c>
      <c r="FU41" s="48">
        <f t="shared" si="142"/>
        <v>0</v>
      </c>
      <c r="FV41" s="48">
        <f t="shared" si="143"/>
        <v>0</v>
      </c>
      <c r="FW41" s="48">
        <f t="shared" si="144"/>
        <v>0</v>
      </c>
      <c r="FX41" s="48">
        <f t="shared" si="145"/>
        <v>0</v>
      </c>
      <c r="FY41" s="48">
        <f t="shared" si="146"/>
        <v>0</v>
      </c>
      <c r="FZ41" s="48">
        <f t="shared" si="147"/>
        <v>0</v>
      </c>
      <c r="GA41" s="48">
        <f t="shared" si="148"/>
        <v>0</v>
      </c>
      <c r="GB41" s="48">
        <f t="shared" si="149"/>
        <v>0</v>
      </c>
      <c r="GC41" s="48">
        <f t="shared" si="150"/>
        <v>0</v>
      </c>
      <c r="GG41">
        <f t="shared" si="151"/>
        <v>0</v>
      </c>
    </row>
    <row r="42" spans="1:189" x14ac:dyDescent="0.25">
      <c r="A42" s="690"/>
      <c r="B42" s="690"/>
      <c r="C42" s="690"/>
      <c r="D42" s="690"/>
      <c r="E42" s="690"/>
      <c r="F42" s="690"/>
      <c r="G42" s="889"/>
      <c r="H42" s="690"/>
      <c r="I42" s="690"/>
      <c r="J42" s="690"/>
      <c r="K42" s="690"/>
      <c r="L42" s="690"/>
      <c r="M42" s="690"/>
      <c r="N42" s="507" t="str">
        <f t="shared" si="159"/>
        <v/>
      </c>
      <c r="O42" s="690"/>
      <c r="P42" s="507" t="str">
        <f t="shared" si="158"/>
        <v/>
      </c>
      <c r="Q42" s="690"/>
      <c r="R42" s="690"/>
      <c r="S42" s="690"/>
      <c r="T42" s="690"/>
      <c r="U42">
        <f t="shared" si="152"/>
        <v>0</v>
      </c>
      <c r="V42">
        <f t="shared" si="153"/>
        <v>0</v>
      </c>
      <c r="X42">
        <f t="shared" si="154"/>
        <v>0</v>
      </c>
      <c r="Y42">
        <f t="shared" si="155"/>
        <v>0</v>
      </c>
      <c r="Z42">
        <f t="shared" si="156"/>
        <v>0</v>
      </c>
      <c r="AA42">
        <f t="shared" si="157"/>
        <v>0</v>
      </c>
      <c r="AB42" s="25"/>
      <c r="AC42" s="25"/>
      <c r="AD42" s="25"/>
      <c r="AF42" s="48" t="s">
        <v>697</v>
      </c>
      <c r="AG42" s="689"/>
      <c r="AH42" s="689"/>
      <c r="AI42" s="48">
        <f t="shared" ref="AI42:AI76" si="160">IF(ISNUMBER(SEARCH(AF42,$O$11)),1,0)</f>
        <v>0</v>
      </c>
      <c r="AJ42" s="48">
        <f t="shared" ref="AJ42:AJ76" si="161">IF(ISNUMBER(SEARCH(AF42,$O$12)),1,0)</f>
        <v>0</v>
      </c>
      <c r="AK42" s="48">
        <f t="shared" ref="AK42:AK76" si="162">IF(ISNUMBER(SEARCH($AF42,$O$13)),1,0)</f>
        <v>0</v>
      </c>
      <c r="AL42" s="48">
        <f t="shared" ref="AL42:AL76" si="163">IF(ISNUMBER(SEARCH($AF42,$O$14)),1,0)</f>
        <v>0</v>
      </c>
      <c r="AM42" s="48">
        <f t="shared" ref="AM42:AM76" si="164">IF(ISNUMBER(SEARCH($AF42,$O$15)),1,0)</f>
        <v>0</v>
      </c>
      <c r="AN42" s="48">
        <f t="shared" ref="AN42:AN76" si="165">IF(ISNUMBER(SEARCH($AF42,$O$16)),1,0)</f>
        <v>0</v>
      </c>
      <c r="AO42" s="48">
        <f t="shared" ref="AO42:AO76" si="166">IF(ISNUMBER(SEARCH($AF42,$O$17)),1,0)</f>
        <v>0</v>
      </c>
      <c r="AP42" s="48">
        <f t="shared" ref="AP42:AP76" si="167">IF(ISNUMBER(SEARCH($AF42,$O$18)),1,0)</f>
        <v>0</v>
      </c>
      <c r="AQ42" s="48">
        <f t="shared" ref="AQ42:AQ76" si="168">IF(ISNUMBER(SEARCH($AF42,$O$19)),1,0)</f>
        <v>0</v>
      </c>
      <c r="AR42" s="48">
        <f t="shared" ref="AR42:AR76" si="169">IF(ISNUMBER(SEARCH($AF42,$O$20)),1,0)</f>
        <v>0</v>
      </c>
      <c r="AS42" s="48">
        <f t="shared" ref="AS42:AS76" si="170">IF(ISNUMBER(SEARCH($AF42,$O$21)),1,0)</f>
        <v>0</v>
      </c>
      <c r="AT42" s="48">
        <f t="shared" ref="AT42:AT76" si="171">IF(ISNUMBER(SEARCH($AF42,$O$22)),1,0)</f>
        <v>0</v>
      </c>
      <c r="AU42" s="48">
        <f t="shared" ref="AU42:AU76" si="172">IF(ISNUMBER(SEARCH($AF42,$O$23)),1,0)</f>
        <v>0</v>
      </c>
      <c r="AV42" s="48">
        <f t="shared" ref="AV42:AV76" si="173">IF(ISNUMBER(SEARCH($AF42,$O$24)),1,0)</f>
        <v>0</v>
      </c>
      <c r="AW42" s="48">
        <f t="shared" ref="AW42:AW76" si="174">IF(ISNUMBER(SEARCH($AF42,$O$25)),1,0)</f>
        <v>0</v>
      </c>
      <c r="AX42" s="48">
        <f t="shared" ref="AX42:AX76" si="175">IF(ISNUMBER(SEARCH($AF42,$O$26)),1,0)</f>
        <v>0</v>
      </c>
      <c r="AY42" s="48">
        <f t="shared" ref="AY42:AY76" si="176">IF(ISNUMBER(SEARCH($AF42,$O$27)),1,0)</f>
        <v>0</v>
      </c>
      <c r="AZ42" s="48">
        <f t="shared" ref="AZ42:AZ76" si="177">IF(ISNUMBER(SEARCH($AF42,$O$28)),1,0)</f>
        <v>0</v>
      </c>
      <c r="BA42" s="48">
        <f t="shared" ref="BA42:BA76" si="178">IF(ISNUMBER(SEARCH($AF42,$O$29)),1,0)</f>
        <v>0</v>
      </c>
      <c r="BB42" s="48">
        <f t="shared" ref="BB42:BB76" si="179">IF(ISNUMBER(SEARCH($AF42,$O$30)),1,0)</f>
        <v>0</v>
      </c>
      <c r="BC42" s="48">
        <f t="shared" ref="BC42:BC76" si="180">IF(ISNUMBER(SEARCH($AF42,$O$31)),1,0)</f>
        <v>0</v>
      </c>
      <c r="BD42" s="48">
        <f t="shared" ref="BD42:BD76" si="181">IF(ISNUMBER(SEARCH($AF42,$O$32)),1,0)</f>
        <v>0</v>
      </c>
      <c r="BE42" s="48">
        <f t="shared" ref="BE42:BE76" si="182">IF(ISNUMBER(SEARCH($AF42,$O$33)),1,0)</f>
        <v>0</v>
      </c>
      <c r="BF42" s="48">
        <f t="shared" ref="BF42:BF76" si="183">IF(ISNUMBER(SEARCH($AF42,$O$34)),1,0)</f>
        <v>0</v>
      </c>
      <c r="BG42" s="48">
        <f t="shared" ref="BG42:BG76" si="184">IF(ISNUMBER(SEARCH($AF42,$O$35)),1,0)</f>
        <v>0</v>
      </c>
      <c r="BH42" s="48">
        <f t="shared" ref="BH42:BH76" si="185">IF(ISNUMBER(SEARCH($AF42,$O$36)),1,0)</f>
        <v>0</v>
      </c>
      <c r="BI42" s="48">
        <f t="shared" ref="BI42:BI76" si="186">IF(ISNUMBER(SEARCH($AF42,$O$37)),1,0)</f>
        <v>0</v>
      </c>
      <c r="BJ42" s="48">
        <f t="shared" ref="BJ42:BJ76" si="187">IF(ISNUMBER(SEARCH($AF42,$O$38)),1,0)</f>
        <v>0</v>
      </c>
      <c r="BK42" s="48">
        <f t="shared" ref="BK42:BK76" si="188">IF(ISNUMBER(SEARCH($AF42,$O$39)),1,0)</f>
        <v>0</v>
      </c>
      <c r="BL42" s="48">
        <f t="shared" ref="BL42:BL76" si="189">IF(ISNUMBER(SEARCH($AF42,$O$40)),1,0)</f>
        <v>0</v>
      </c>
      <c r="BM42" s="48">
        <f t="shared" ref="BM42:BM76" si="190">IF(ISNUMBER(SEARCH($AF42,$O$41)),1,0)</f>
        <v>0</v>
      </c>
      <c r="BN42" s="48">
        <f t="shared" ref="BN42:BN76" si="191">IF(ISNUMBER(SEARCH($AF42,$O$42)),1,0)</f>
        <v>0</v>
      </c>
      <c r="BO42" s="48">
        <f t="shared" ref="BO42:BO76" si="192">IF(ISNUMBER(SEARCH($AF42,$O$43)),1,0)</f>
        <v>0</v>
      </c>
      <c r="BP42" s="48">
        <f t="shared" ref="BP42:BP76" si="193">IF(ISNUMBER(SEARCH($AF42,$O$44)),1,0)</f>
        <v>0</v>
      </c>
      <c r="BQ42" s="48">
        <f t="shared" ref="BQ42:BQ76" si="194">IF(ISNUMBER(SEARCH($AF42,$O$45)),1,0)</f>
        <v>0</v>
      </c>
      <c r="BR42" s="48">
        <f t="shared" ref="BR42:BR76" si="195">IF(ISNUMBER(SEARCH($AF42,$O$46)),1,0)</f>
        <v>0</v>
      </c>
      <c r="BS42" s="48">
        <f t="shared" ref="BS42:BS76" si="196">IF(ISNUMBER(SEARCH($AF42,$O$47)),1,0)</f>
        <v>0</v>
      </c>
      <c r="BT42" s="48">
        <f t="shared" ref="BT42:BT76" si="197">IF(ISNUMBER(SEARCH($AF42,$O$48)),1,0)</f>
        <v>0</v>
      </c>
      <c r="BU42" s="48">
        <f t="shared" ref="BU42:BU76" si="198">IF(ISNUMBER(SEARCH($AF42,$O$49)),1,0)</f>
        <v>0</v>
      </c>
      <c r="BV42" s="48">
        <f t="shared" ref="BV42:BV76" si="199">IF(ISNUMBER(SEARCH($AF42,$O$50)),1,0)</f>
        <v>0</v>
      </c>
      <c r="BW42" s="48">
        <f t="shared" ref="BW42:BW76" si="200">IF(ISNUMBER(SEARCH($AF42,$O$51)),1,0)</f>
        <v>0</v>
      </c>
      <c r="BX42" s="48">
        <f t="shared" ref="BX42:BX76" si="201">IF(ISNUMBER(SEARCH($AF42,$O$52)),1,0)</f>
        <v>0</v>
      </c>
      <c r="BY42" s="48">
        <f t="shared" ref="BY42:BY76" si="202">IF(ISNUMBER(SEARCH($AF42,$O$53)),1,0)</f>
        <v>0</v>
      </c>
      <c r="BZ42" s="48">
        <f t="shared" ref="BZ42:BZ76" si="203">IF(ISNUMBER(SEARCH($AF42,$O$54)),1,0)</f>
        <v>0</v>
      </c>
      <c r="CA42" s="48">
        <f t="shared" ref="CA42:CA76" si="204">IF(ISNUMBER(SEARCH($AF42,$O$55)),1,0)</f>
        <v>0</v>
      </c>
      <c r="CB42" s="48">
        <f t="shared" ref="CB42:CB76" si="205">IF(ISNUMBER(SEARCH($AF42,$O$56)),1,0)</f>
        <v>0</v>
      </c>
      <c r="CC42" s="48">
        <f t="shared" ref="CC42:CC76" si="206">IF(ISNUMBER(SEARCH($AF42,$O$57)),1,0)</f>
        <v>0</v>
      </c>
      <c r="CD42" s="48">
        <f t="shared" ref="CD42:CD76" si="207">IF(ISNUMBER(SEARCH($AF42,$O$58)),1,0)</f>
        <v>0</v>
      </c>
      <c r="CE42" s="48">
        <f t="shared" ref="CE42:CE76" si="208">IF(ISNUMBER(SEARCH($AF42,$O$59)),1,0)</f>
        <v>0</v>
      </c>
      <c r="CF42" s="48">
        <f t="shared" ref="CF42:CF76" si="209">IF(ISNUMBER(SEARCH($AF42,$O$60)),1,0)</f>
        <v>0</v>
      </c>
      <c r="CG42" s="48">
        <f t="shared" ref="CG42:CG76" si="210">IF(ISNUMBER(SEARCH($AF42,$O$61)),1,0)</f>
        <v>0</v>
      </c>
      <c r="CH42" s="48">
        <f t="shared" ref="CH42:CH76" si="211">IF(ISNUMBER(SEARCH($AF42,$O$62)),1,0)</f>
        <v>0</v>
      </c>
      <c r="CI42" s="48">
        <f t="shared" ref="CI42:CI76" si="212">IF(ISNUMBER(SEARCH($AF42,$O$63)),1,0)</f>
        <v>0</v>
      </c>
      <c r="CJ42" s="48">
        <f t="shared" ref="CJ42:CJ76" si="213">IF(ISNUMBER(SEARCH($AF42,$O$64)),1,0)</f>
        <v>0</v>
      </c>
      <c r="CK42" s="48">
        <f t="shared" ref="CK42:CK76" si="214">IF(ISNUMBER(SEARCH($AF42,$O$65)),1,0)</f>
        <v>0</v>
      </c>
      <c r="CL42" s="48">
        <f t="shared" ref="CL42:CL76" si="215">IF(ISNUMBER(SEARCH($AF42,$O$66)),1,0)</f>
        <v>0</v>
      </c>
      <c r="CM42" s="48">
        <f t="shared" ref="CM42:CM76" si="216">IF(ISNUMBER(SEARCH($AF42,$O$67)),1,0)</f>
        <v>0</v>
      </c>
      <c r="CN42" s="48">
        <f t="shared" ref="CN42:CN76" si="217">IF(ISNUMBER(SEARCH($AF42,$O$68)),1,0)</f>
        <v>0</v>
      </c>
      <c r="CO42" s="48">
        <f t="shared" ref="CO42:CO76" si="218">IF(ISNUMBER(SEARCH($AF42,$O$69)),1,0)</f>
        <v>0</v>
      </c>
      <c r="CP42" s="48">
        <f t="shared" ref="CP42:CP76" si="219">IF(ISNUMBER(SEARCH($AF42,$O$70)),1,0)</f>
        <v>0</v>
      </c>
      <c r="CQ42" s="48">
        <f t="shared" ref="CQ42:CQ76" si="220">IF(ISNUMBER(SEARCH($AF42,$O$71)),1,0)</f>
        <v>0</v>
      </c>
      <c r="CR42" s="48">
        <f t="shared" ref="CR42:CR76" si="221">IF(ISNUMBER(SEARCH($AF42,$O$72)),1,0)</f>
        <v>0</v>
      </c>
      <c r="CS42" s="48">
        <f t="shared" ref="CS42:CS76" si="222">IF(ISNUMBER(SEARCH($AF42,$O$73)),1,0)</f>
        <v>0</v>
      </c>
      <c r="CT42" s="48">
        <f t="shared" ref="CT42:CT76" si="223">IF(ISNUMBER(SEARCH($AF42,$O$74)),1,0)</f>
        <v>0</v>
      </c>
      <c r="CU42" s="48">
        <f t="shared" ref="CU42:CU76" si="224">IF(ISNUMBER(SEARCH($AF42,$O$75)),1,0)</f>
        <v>0</v>
      </c>
      <c r="CV42" s="48">
        <f t="shared" ref="CV42:CV76" si="225">IF(ISNUMBER(SEARCH($AF42,$O$76)),1,0)</f>
        <v>0</v>
      </c>
      <c r="CW42" s="48">
        <f t="shared" ref="CW42:CW76" si="226">IF(ISNUMBER(SEARCH($AF42,$O$77)),1,0)</f>
        <v>0</v>
      </c>
      <c r="CX42" s="48">
        <f t="shared" ref="CX42:CX76" si="227">IF(ISNUMBER(SEARCH($AF42,$O$78)),1,0)</f>
        <v>0</v>
      </c>
      <c r="CY42" s="48">
        <f t="shared" ref="CY42:CY76" si="228">IF(ISNUMBER(SEARCH($AF42,$O$79)),1,0)</f>
        <v>0</v>
      </c>
      <c r="CZ42" s="48">
        <f t="shared" ref="CZ42:CZ76" si="229">IF(ISNUMBER(SEARCH($AF42,$O$80)),1,0)</f>
        <v>0</v>
      </c>
      <c r="DA42" s="48">
        <f t="shared" ref="DA42:DA76" si="230">IF(ISNUMBER(SEARCH($AF42,$O$81)),1,0)</f>
        <v>0</v>
      </c>
      <c r="DB42" s="48">
        <f t="shared" ref="DB42:DB76" si="231">IF(ISNUMBER(SEARCH($AF42,$O$82)),1,0)</f>
        <v>0</v>
      </c>
      <c r="DC42" s="48">
        <f t="shared" ref="DC42:DC76" si="232">IF(ISNUMBER(SEARCH($AF42,$O$83)),1,0)</f>
        <v>0</v>
      </c>
      <c r="DD42" s="48">
        <f t="shared" ref="DD42:DD76" si="233">IF(ISNUMBER(SEARCH($AF42,$O$84)),1,0)</f>
        <v>0</v>
      </c>
      <c r="DE42" s="48">
        <f t="shared" ref="DE42:DE76" si="234">IF(ISNUMBER(SEARCH($AF42,$O$85)),1,0)</f>
        <v>0</v>
      </c>
      <c r="DF42" s="48">
        <f t="shared" ref="DF42:DF76" si="235">IF(ISNUMBER(SEARCH($AF42,$O$86)),1,0)</f>
        <v>0</v>
      </c>
      <c r="DG42" s="48">
        <f t="shared" ref="DG42:DG76" si="236">IF(ISNUMBER(SEARCH($AF42,$O$87)),1,0)</f>
        <v>0</v>
      </c>
      <c r="DH42" s="48">
        <f t="shared" ref="DH42:DH76" si="237">IF(ISNUMBER(SEARCH($AF42,$O$88)),1,0)</f>
        <v>0</v>
      </c>
      <c r="DI42" s="48">
        <f t="shared" ref="DI42:DI76" si="238">IF(ISNUMBER(SEARCH($AF42,$O$89)),1,0)</f>
        <v>0</v>
      </c>
      <c r="DJ42" s="48">
        <f t="shared" ref="DJ42:DJ76" si="239">IF(ISNUMBER(SEARCH($AF42,$O$90)),1,0)</f>
        <v>0</v>
      </c>
      <c r="DK42" s="48">
        <f t="shared" ref="DK42:DK76" si="240">IF(ISNUMBER(SEARCH($AF42,$O$91)),1,0)</f>
        <v>0</v>
      </c>
      <c r="DL42" s="48">
        <f t="shared" ref="DL42:DL76" si="241">IF(ISNUMBER(SEARCH($AF42,$O$92)),1,0)</f>
        <v>0</v>
      </c>
      <c r="DM42" s="48">
        <f t="shared" ref="DM42:DM76" si="242">IF(ISNUMBER(SEARCH($AF42,$O$93)),1,0)</f>
        <v>0</v>
      </c>
      <c r="DN42" s="48">
        <f t="shared" ref="DN42:DN76" si="243">IF(ISNUMBER(SEARCH($AF42,$O$94)),1,0)</f>
        <v>0</v>
      </c>
      <c r="DO42" s="48">
        <f t="shared" ref="DO42:DO76" si="244">IF(ISNUMBER(SEARCH($AF42,$O$95)),1,0)</f>
        <v>0</v>
      </c>
      <c r="DP42" s="48">
        <f t="shared" ref="DP42:DP76" si="245">IF(ISNUMBER(SEARCH($AF42,$O$96)),1,0)</f>
        <v>0</v>
      </c>
      <c r="DQ42" s="48">
        <f t="shared" ref="DQ42:DQ76" si="246">IF(ISNUMBER(SEARCH($AF42,$O$97)),1,0)</f>
        <v>0</v>
      </c>
      <c r="DR42" s="48">
        <f t="shared" ref="DR42:DR76" si="247">IF(ISNUMBER(SEARCH($AF42,$O$98)),1,0)</f>
        <v>0</v>
      </c>
      <c r="DS42" s="48">
        <f t="shared" ref="DS42:DS76" si="248">IF(ISNUMBER(SEARCH($AF42,$O$99)),1,0)</f>
        <v>0</v>
      </c>
      <c r="DT42" s="48">
        <f t="shared" ref="DT42:DT76" si="249">IF(ISNUMBER(SEARCH($AF42,$O$100)),1,0)</f>
        <v>0</v>
      </c>
      <c r="DU42" s="48">
        <f t="shared" ref="DU42:DU76" si="250">IF(ISNUMBER(SEARCH($AF42,$O$101)),1,0)</f>
        <v>0</v>
      </c>
      <c r="DV42" s="48">
        <f t="shared" ref="DV42:DV76" si="251">IF(ISNUMBER(SEARCH($AF42,$O$102)),1,0)</f>
        <v>0</v>
      </c>
      <c r="DW42" s="48">
        <f t="shared" ref="DW42:DW76" si="252">IF(ISNUMBER(SEARCH($AF42,$O$103)),1,0)</f>
        <v>0</v>
      </c>
      <c r="DX42" s="48">
        <f t="shared" ref="DX42:DX76" si="253">IF(ISNUMBER(SEARCH($AF42,$O$104)),1,0)</f>
        <v>0</v>
      </c>
      <c r="DY42" s="48">
        <f t="shared" ref="DY42:DY76" si="254">IF(ISNUMBER(SEARCH($AF42,$O$105)),1,0)</f>
        <v>0</v>
      </c>
      <c r="DZ42" s="48">
        <f t="shared" ref="DZ42:DZ76" si="255">IF(ISNUMBER(SEARCH($AF42,$O$106)),1,0)</f>
        <v>0</v>
      </c>
      <c r="EA42" s="48">
        <f t="shared" ref="EA42:EA76" si="256">IF(ISNUMBER(SEARCH($AF42,$O$107)),1,0)</f>
        <v>0</v>
      </c>
      <c r="EB42" s="48">
        <f t="shared" ref="EB42:EB76" si="257">IF(ISNUMBER(SEARCH($AF42,$O$108)),1,0)</f>
        <v>0</v>
      </c>
      <c r="EC42" s="48">
        <f t="shared" ref="EC42:EC76" si="258">IF(ISNUMBER(SEARCH($AF42,$O$109)),1,0)</f>
        <v>0</v>
      </c>
      <c r="ED42" s="48">
        <f t="shared" ref="ED42:ED76" si="259">IF(ISNUMBER(SEARCH($AF42,$O$110)),1,0)</f>
        <v>0</v>
      </c>
      <c r="EE42" s="48">
        <f t="shared" ref="EE42:EE76" si="260">IF(ISNUMBER(SEARCH($AF42,$O$111)),1,0)</f>
        <v>0</v>
      </c>
      <c r="EF42" s="48">
        <f t="shared" ref="EF42:EF76" si="261">IF(ISNUMBER(SEARCH($AF42,$O$112)),1,0)</f>
        <v>0</v>
      </c>
      <c r="EG42" s="48">
        <f t="shared" ref="EG42:EG76" si="262">IF(ISNUMBER(SEARCH($AF42,$O$113)),1,0)</f>
        <v>0</v>
      </c>
      <c r="EH42" s="48">
        <f t="shared" ref="EH42:EH76" si="263">IF(ISNUMBER(SEARCH($AF42,$O$114)),1,0)</f>
        <v>0</v>
      </c>
      <c r="EI42" s="48">
        <f t="shared" ref="EI42:EI76" si="264">IF(ISNUMBER(SEARCH($AF42,$O$115)),1,0)</f>
        <v>0</v>
      </c>
      <c r="EJ42" s="48">
        <f t="shared" ref="EJ42:EJ76" si="265">IF(ISNUMBER(SEARCH($AF42,$O$116)),1,0)</f>
        <v>0</v>
      </c>
      <c r="EK42" s="48">
        <f t="shared" ref="EK42:EK76" si="266">IF(ISNUMBER(SEARCH($AF42,$O$117)),1,0)</f>
        <v>0</v>
      </c>
      <c r="EL42" s="48">
        <f t="shared" ref="EL42:EL76" si="267">IF(ISNUMBER(SEARCH($AF42,$O$118)),1,0)</f>
        <v>0</v>
      </c>
      <c r="EM42" s="48">
        <f t="shared" ref="EM42:EM76" si="268">IF(ISNUMBER(SEARCH($AF42,$O$119)),1,0)</f>
        <v>0</v>
      </c>
      <c r="EN42" s="48">
        <f t="shared" ref="EN42:EN76" si="269">IF(ISNUMBER(SEARCH($AF42,$O$120)),1,0)</f>
        <v>0</v>
      </c>
      <c r="EO42" s="48">
        <f t="shared" ref="EO42:EO76" si="270">IF(ISNUMBER(SEARCH($AF42,$O$121)),1,0)</f>
        <v>0</v>
      </c>
      <c r="EP42" s="48">
        <f t="shared" ref="EP42:EP76" si="271">IF(ISNUMBER(SEARCH($AF42,$O$122)),1,0)</f>
        <v>0</v>
      </c>
      <c r="EQ42" s="48">
        <f t="shared" ref="EQ42:EQ76" si="272">IF(ISNUMBER(SEARCH($AF42,$O$123)),1,0)</f>
        <v>0</v>
      </c>
      <c r="ER42" s="48">
        <f t="shared" ref="ER42:ER76" si="273">IF(ISNUMBER(SEARCH($AF42,$O$124)),1,0)</f>
        <v>0</v>
      </c>
      <c r="ES42" s="48">
        <f t="shared" ref="ES42:ES76" si="274">IF(ISNUMBER(SEARCH($AF42,$O$125)),1,0)</f>
        <v>0</v>
      </c>
      <c r="ET42" s="48">
        <f t="shared" ref="ET42:ET76" si="275">IF(ISNUMBER(SEARCH($AF42,$O$126)),1,0)</f>
        <v>0</v>
      </c>
      <c r="EU42" s="48">
        <f t="shared" ref="EU42:EU76" si="276">IF(ISNUMBER(SEARCH($AF42,$O$127)),1,0)</f>
        <v>0</v>
      </c>
      <c r="EV42" s="48">
        <f t="shared" ref="EV42:EV76" si="277">IF(ISNUMBER(SEARCH($AF42,$O$128)),1,0)</f>
        <v>0</v>
      </c>
      <c r="EW42" s="48">
        <f t="shared" ref="EW42:EW76" si="278">IF(ISNUMBER(SEARCH($AF42,$O$129)),1,0)</f>
        <v>0</v>
      </c>
      <c r="EX42" s="48">
        <f t="shared" ref="EX42:EX76" si="279">IF(ISNUMBER(SEARCH($AF42,$O$130)),1,0)</f>
        <v>0</v>
      </c>
      <c r="EY42" s="48">
        <f t="shared" ref="EY42:EY76" si="280">IF(ISNUMBER(SEARCH($AF42,$O$131)),1,0)</f>
        <v>0</v>
      </c>
      <c r="EZ42" s="48">
        <f t="shared" ref="EZ42:EZ76" si="281">IF(ISNUMBER(SEARCH($AF42,$O$132)),1,0)</f>
        <v>0</v>
      </c>
      <c r="FA42" s="48">
        <f t="shared" ref="FA42:FA76" si="282">IF(ISNUMBER(SEARCH($AF42,$O$133)),1,0)</f>
        <v>0</v>
      </c>
      <c r="FB42" s="48">
        <f t="shared" ref="FB42:FB76" si="283">IF(ISNUMBER(SEARCH($AF42,$O$134)),1,0)</f>
        <v>0</v>
      </c>
      <c r="FC42" s="48">
        <f t="shared" ref="FC42:FC76" si="284">IF(ISNUMBER(SEARCH($AF42,$O$135)),1,0)</f>
        <v>0</v>
      </c>
      <c r="FD42" s="48">
        <f t="shared" ref="FD42:FD76" si="285">IF(ISNUMBER(SEARCH($AF42,$O$136)),1,0)</f>
        <v>0</v>
      </c>
      <c r="FE42" s="48">
        <f t="shared" ref="FE42:FE76" si="286">IF(ISNUMBER(SEARCH($AF42,$O$137)),1,0)</f>
        <v>0</v>
      </c>
      <c r="FF42" s="48">
        <f t="shared" ref="FF42:FF76" si="287">IF(ISNUMBER(SEARCH($AF42,$O$138)),1,0)</f>
        <v>0</v>
      </c>
      <c r="FG42" s="48">
        <f t="shared" ref="FG42:FG76" si="288">IF(ISNUMBER(SEARCH($AF42,$O$139)),1,0)</f>
        <v>0</v>
      </c>
      <c r="FH42" s="48">
        <f t="shared" ref="FH42:FH76" si="289">IF(ISNUMBER(SEARCH($AF42,$O$140)),1,0)</f>
        <v>0</v>
      </c>
      <c r="FI42" s="48">
        <f t="shared" ref="FI42:FI76" si="290">IF(ISNUMBER(SEARCH($AF42,$O$141)),1,0)</f>
        <v>0</v>
      </c>
      <c r="FJ42" s="48">
        <f t="shared" ref="FJ42:FJ76" si="291">IF(ISNUMBER(SEARCH($AF42,$O$142)),1,0)</f>
        <v>0</v>
      </c>
      <c r="FK42" s="48">
        <f t="shared" ref="FK42:FK76" si="292">IF(ISNUMBER(SEARCH($AF42,$O$143)),1,0)</f>
        <v>0</v>
      </c>
      <c r="FL42" s="48">
        <f t="shared" ref="FL42:FL76" si="293">IF(ISNUMBER(SEARCH($AF42,$O$144)),1,0)</f>
        <v>0</v>
      </c>
      <c r="FM42" s="48">
        <f t="shared" ref="FM42:FM76" si="294">IF(ISNUMBER(SEARCH($AF42,$O$145)),1,0)</f>
        <v>0</v>
      </c>
      <c r="FN42" s="48">
        <f t="shared" ref="FN42:FN76" si="295">IF(ISNUMBER(SEARCH($AF42,$O$146)),1,0)</f>
        <v>0</v>
      </c>
      <c r="FO42" s="48">
        <f t="shared" ref="FO42:FO76" si="296">IF(ISNUMBER(SEARCH($AF42,$O$147)),1,0)</f>
        <v>0</v>
      </c>
      <c r="FP42" s="48">
        <f t="shared" ref="FP42:FP76" si="297">IF(ISNUMBER(SEARCH($AF42,$O$148)),1,0)</f>
        <v>0</v>
      </c>
      <c r="FQ42" s="48">
        <f t="shared" ref="FQ42:FQ76" si="298">IF(ISNUMBER(SEARCH($AF42,$O$149)),1,0)</f>
        <v>0</v>
      </c>
      <c r="FR42" s="48">
        <f t="shared" ref="FR42:FR76" si="299">IF(ISNUMBER(SEARCH($AF42,$O$150)),1,0)</f>
        <v>0</v>
      </c>
      <c r="FS42" s="48">
        <f t="shared" ref="FS42:FS76" si="300">IF(ISNUMBER(SEARCH($AF42,$O$151)),1,0)</f>
        <v>0</v>
      </c>
      <c r="FT42" s="48">
        <f t="shared" ref="FT42:FT76" si="301">IF(ISNUMBER(SEARCH($AF42,$O$152)),1,0)</f>
        <v>0</v>
      </c>
      <c r="FU42" s="48">
        <f t="shared" ref="FU42:FU76" si="302">IF(ISNUMBER(SEARCH($AF42,$O$153)),1,0)</f>
        <v>0</v>
      </c>
      <c r="FV42" s="48">
        <f t="shared" ref="FV42:FV76" si="303">IF(ISNUMBER(SEARCH($AF42,$O$154)),1,0)</f>
        <v>0</v>
      </c>
      <c r="FW42" s="48">
        <f t="shared" ref="FW42:FW76" si="304">IF(ISNUMBER(SEARCH($AF42,$O$155)),1,0)</f>
        <v>0</v>
      </c>
      <c r="FX42" s="48">
        <f t="shared" ref="FX42:FX76" si="305">IF(ISNUMBER(SEARCH($AF42,$O$156)),1,0)</f>
        <v>0</v>
      </c>
      <c r="FY42" s="48">
        <f t="shared" ref="FY42:FY76" si="306">IF(ISNUMBER(SEARCH($AF42,$O$157)),1,0)</f>
        <v>0</v>
      </c>
      <c r="FZ42" s="48">
        <f t="shared" ref="FZ42:FZ76" si="307">IF(ISNUMBER(SEARCH($AF42,$O$158)),1,0)</f>
        <v>0</v>
      </c>
      <c r="GA42" s="48">
        <f t="shared" ref="GA42:GA76" si="308">IF(ISNUMBER(SEARCH($AF42,$O$159)),1,0)</f>
        <v>0</v>
      </c>
      <c r="GB42" s="48">
        <f t="shared" ref="GB42:GB76" si="309">IF(ISNUMBER(SEARCH($AF42,$O$160)),1,0)</f>
        <v>0</v>
      </c>
      <c r="GC42" s="48">
        <f t="shared" ref="GC42:GC76" si="310">IF(ISNUMBER(SEARCH($AF42,$O$161)),1,0)</f>
        <v>0</v>
      </c>
      <c r="GG42">
        <f t="shared" ref="GG42:GG76" si="311">IF(SUM(AI42:GC42)&gt;=1,1,0)</f>
        <v>0</v>
      </c>
    </row>
    <row r="43" spans="1:189" x14ac:dyDescent="0.25">
      <c r="A43" s="690"/>
      <c r="B43" s="690"/>
      <c r="C43" s="690"/>
      <c r="D43" s="690"/>
      <c r="E43" s="690"/>
      <c r="F43" s="690"/>
      <c r="G43" s="889"/>
      <c r="H43" s="690"/>
      <c r="I43" s="690"/>
      <c r="J43" s="690"/>
      <c r="K43" s="690"/>
      <c r="L43" s="690"/>
      <c r="M43" s="690"/>
      <c r="N43" s="507" t="str">
        <f t="shared" si="159"/>
        <v/>
      </c>
      <c r="O43" s="690"/>
      <c r="P43" s="507" t="str">
        <f t="shared" si="158"/>
        <v/>
      </c>
      <c r="Q43" s="690"/>
      <c r="R43" s="690"/>
      <c r="S43" s="690"/>
      <c r="T43" s="690"/>
      <c r="U43">
        <f t="shared" ref="U43:U74" si="312">IF(A43&lt;&gt;"",1,0)</f>
        <v>0</v>
      </c>
      <c r="V43">
        <f t="shared" ref="V43:V74" si="313">IF(OR(J43="Yes",K43="Yes",L43="Yes"), 1, 0)</f>
        <v>0</v>
      </c>
      <c r="X43">
        <f t="shared" ref="X43:X74" si="314">IF(R43="Yes", 1, 0)</f>
        <v>0</v>
      </c>
      <c r="Y43">
        <f t="shared" ref="Y43:Y74" si="315">IF(S43="Yes", 1, 0)</f>
        <v>0</v>
      </c>
      <c r="Z43">
        <f t="shared" ref="Z43:Z74" si="316">IF(T43="Yes", 1, 0)</f>
        <v>0</v>
      </c>
      <c r="AA43">
        <f t="shared" ref="AA43:AA74" si="317">IF(Q43="Yes", 1,0)</f>
        <v>0</v>
      </c>
      <c r="AB43" s="25"/>
      <c r="AC43" s="25"/>
      <c r="AD43" s="25"/>
      <c r="AF43" s="48" t="s">
        <v>698</v>
      </c>
      <c r="AG43" s="689"/>
      <c r="AH43" s="689"/>
      <c r="AI43" s="48">
        <f t="shared" si="160"/>
        <v>0</v>
      </c>
      <c r="AJ43" s="48">
        <f t="shared" si="161"/>
        <v>0</v>
      </c>
      <c r="AK43" s="48">
        <f t="shared" si="162"/>
        <v>0</v>
      </c>
      <c r="AL43" s="48">
        <f t="shared" si="163"/>
        <v>0</v>
      </c>
      <c r="AM43" s="48">
        <f t="shared" si="164"/>
        <v>0</v>
      </c>
      <c r="AN43" s="48">
        <f t="shared" si="165"/>
        <v>0</v>
      </c>
      <c r="AO43" s="48">
        <f t="shared" si="166"/>
        <v>0</v>
      </c>
      <c r="AP43" s="48">
        <f t="shared" si="167"/>
        <v>0</v>
      </c>
      <c r="AQ43" s="48">
        <f t="shared" si="168"/>
        <v>0</v>
      </c>
      <c r="AR43" s="48">
        <f t="shared" si="169"/>
        <v>0</v>
      </c>
      <c r="AS43" s="48">
        <f t="shared" si="170"/>
        <v>0</v>
      </c>
      <c r="AT43" s="48">
        <f t="shared" si="171"/>
        <v>0</v>
      </c>
      <c r="AU43" s="48">
        <f t="shared" si="172"/>
        <v>0</v>
      </c>
      <c r="AV43" s="48">
        <f t="shared" si="173"/>
        <v>0</v>
      </c>
      <c r="AW43" s="48">
        <f t="shared" si="174"/>
        <v>0</v>
      </c>
      <c r="AX43" s="48">
        <f t="shared" si="175"/>
        <v>0</v>
      </c>
      <c r="AY43" s="48">
        <f t="shared" si="176"/>
        <v>0</v>
      </c>
      <c r="AZ43" s="48">
        <f t="shared" si="177"/>
        <v>0</v>
      </c>
      <c r="BA43" s="48">
        <f t="shared" si="178"/>
        <v>0</v>
      </c>
      <c r="BB43" s="48">
        <f t="shared" si="179"/>
        <v>0</v>
      </c>
      <c r="BC43" s="48">
        <f t="shared" si="180"/>
        <v>0</v>
      </c>
      <c r="BD43" s="48">
        <f t="shared" si="181"/>
        <v>0</v>
      </c>
      <c r="BE43" s="48">
        <f t="shared" si="182"/>
        <v>0</v>
      </c>
      <c r="BF43" s="48">
        <f t="shared" si="183"/>
        <v>0</v>
      </c>
      <c r="BG43" s="48">
        <f t="shared" si="184"/>
        <v>0</v>
      </c>
      <c r="BH43" s="48">
        <f t="shared" si="185"/>
        <v>0</v>
      </c>
      <c r="BI43" s="48">
        <f t="shared" si="186"/>
        <v>0</v>
      </c>
      <c r="BJ43" s="48">
        <f t="shared" si="187"/>
        <v>0</v>
      </c>
      <c r="BK43" s="48">
        <f t="shared" si="188"/>
        <v>0</v>
      </c>
      <c r="BL43" s="48">
        <f t="shared" si="189"/>
        <v>0</v>
      </c>
      <c r="BM43" s="48">
        <f t="shared" si="190"/>
        <v>0</v>
      </c>
      <c r="BN43" s="48">
        <f t="shared" si="191"/>
        <v>0</v>
      </c>
      <c r="BO43" s="48">
        <f t="shared" si="192"/>
        <v>0</v>
      </c>
      <c r="BP43" s="48">
        <f t="shared" si="193"/>
        <v>0</v>
      </c>
      <c r="BQ43" s="48">
        <f t="shared" si="194"/>
        <v>0</v>
      </c>
      <c r="BR43" s="48">
        <f t="shared" si="195"/>
        <v>0</v>
      </c>
      <c r="BS43" s="48">
        <f t="shared" si="196"/>
        <v>0</v>
      </c>
      <c r="BT43" s="48">
        <f t="shared" si="197"/>
        <v>0</v>
      </c>
      <c r="BU43" s="48">
        <f t="shared" si="198"/>
        <v>0</v>
      </c>
      <c r="BV43" s="48">
        <f t="shared" si="199"/>
        <v>0</v>
      </c>
      <c r="BW43" s="48">
        <f t="shared" si="200"/>
        <v>0</v>
      </c>
      <c r="BX43" s="48">
        <f t="shared" si="201"/>
        <v>0</v>
      </c>
      <c r="BY43" s="48">
        <f t="shared" si="202"/>
        <v>0</v>
      </c>
      <c r="BZ43" s="48">
        <f t="shared" si="203"/>
        <v>0</v>
      </c>
      <c r="CA43" s="48">
        <f t="shared" si="204"/>
        <v>0</v>
      </c>
      <c r="CB43" s="48">
        <f t="shared" si="205"/>
        <v>0</v>
      </c>
      <c r="CC43" s="48">
        <f t="shared" si="206"/>
        <v>0</v>
      </c>
      <c r="CD43" s="48">
        <f t="shared" si="207"/>
        <v>0</v>
      </c>
      <c r="CE43" s="48">
        <f t="shared" si="208"/>
        <v>0</v>
      </c>
      <c r="CF43" s="48">
        <f t="shared" si="209"/>
        <v>0</v>
      </c>
      <c r="CG43" s="48">
        <f t="shared" si="210"/>
        <v>0</v>
      </c>
      <c r="CH43" s="48">
        <f t="shared" si="211"/>
        <v>0</v>
      </c>
      <c r="CI43" s="48">
        <f t="shared" si="212"/>
        <v>0</v>
      </c>
      <c r="CJ43" s="48">
        <f t="shared" si="213"/>
        <v>0</v>
      </c>
      <c r="CK43" s="48">
        <f t="shared" si="214"/>
        <v>0</v>
      </c>
      <c r="CL43" s="48">
        <f t="shared" si="215"/>
        <v>0</v>
      </c>
      <c r="CM43" s="48">
        <f t="shared" si="216"/>
        <v>0</v>
      </c>
      <c r="CN43" s="48">
        <f t="shared" si="217"/>
        <v>0</v>
      </c>
      <c r="CO43" s="48">
        <f t="shared" si="218"/>
        <v>0</v>
      </c>
      <c r="CP43" s="48">
        <f t="shared" si="219"/>
        <v>0</v>
      </c>
      <c r="CQ43" s="48">
        <f t="shared" si="220"/>
        <v>0</v>
      </c>
      <c r="CR43" s="48">
        <f t="shared" si="221"/>
        <v>0</v>
      </c>
      <c r="CS43" s="48">
        <f t="shared" si="222"/>
        <v>0</v>
      </c>
      <c r="CT43" s="48">
        <f t="shared" si="223"/>
        <v>0</v>
      </c>
      <c r="CU43" s="48">
        <f t="shared" si="224"/>
        <v>0</v>
      </c>
      <c r="CV43" s="48">
        <f t="shared" si="225"/>
        <v>0</v>
      </c>
      <c r="CW43" s="48">
        <f t="shared" si="226"/>
        <v>0</v>
      </c>
      <c r="CX43" s="48">
        <f t="shared" si="227"/>
        <v>0</v>
      </c>
      <c r="CY43" s="48">
        <f t="shared" si="228"/>
        <v>0</v>
      </c>
      <c r="CZ43" s="48">
        <f t="shared" si="229"/>
        <v>0</v>
      </c>
      <c r="DA43" s="48">
        <f t="shared" si="230"/>
        <v>0</v>
      </c>
      <c r="DB43" s="48">
        <f t="shared" si="231"/>
        <v>0</v>
      </c>
      <c r="DC43" s="48">
        <f t="shared" si="232"/>
        <v>0</v>
      </c>
      <c r="DD43" s="48">
        <f t="shared" si="233"/>
        <v>0</v>
      </c>
      <c r="DE43" s="48">
        <f t="shared" si="234"/>
        <v>0</v>
      </c>
      <c r="DF43" s="48">
        <f t="shared" si="235"/>
        <v>0</v>
      </c>
      <c r="DG43" s="48">
        <f t="shared" si="236"/>
        <v>0</v>
      </c>
      <c r="DH43" s="48">
        <f t="shared" si="237"/>
        <v>0</v>
      </c>
      <c r="DI43" s="48">
        <f t="shared" si="238"/>
        <v>0</v>
      </c>
      <c r="DJ43" s="48">
        <f t="shared" si="239"/>
        <v>0</v>
      </c>
      <c r="DK43" s="48">
        <f t="shared" si="240"/>
        <v>0</v>
      </c>
      <c r="DL43" s="48">
        <f t="shared" si="241"/>
        <v>0</v>
      </c>
      <c r="DM43" s="48">
        <f t="shared" si="242"/>
        <v>0</v>
      </c>
      <c r="DN43" s="48">
        <f t="shared" si="243"/>
        <v>0</v>
      </c>
      <c r="DO43" s="48">
        <f t="shared" si="244"/>
        <v>0</v>
      </c>
      <c r="DP43" s="48">
        <f t="shared" si="245"/>
        <v>0</v>
      </c>
      <c r="DQ43" s="48">
        <f t="shared" si="246"/>
        <v>0</v>
      </c>
      <c r="DR43" s="48">
        <f t="shared" si="247"/>
        <v>0</v>
      </c>
      <c r="DS43" s="48">
        <f t="shared" si="248"/>
        <v>0</v>
      </c>
      <c r="DT43" s="48">
        <f t="shared" si="249"/>
        <v>0</v>
      </c>
      <c r="DU43" s="48">
        <f t="shared" si="250"/>
        <v>0</v>
      </c>
      <c r="DV43" s="48">
        <f t="shared" si="251"/>
        <v>0</v>
      </c>
      <c r="DW43" s="48">
        <f t="shared" si="252"/>
        <v>0</v>
      </c>
      <c r="DX43" s="48">
        <f t="shared" si="253"/>
        <v>0</v>
      </c>
      <c r="DY43" s="48">
        <f t="shared" si="254"/>
        <v>0</v>
      </c>
      <c r="DZ43" s="48">
        <f t="shared" si="255"/>
        <v>0</v>
      </c>
      <c r="EA43" s="48">
        <f t="shared" si="256"/>
        <v>0</v>
      </c>
      <c r="EB43" s="48">
        <f t="shared" si="257"/>
        <v>0</v>
      </c>
      <c r="EC43" s="48">
        <f t="shared" si="258"/>
        <v>0</v>
      </c>
      <c r="ED43" s="48">
        <f t="shared" si="259"/>
        <v>0</v>
      </c>
      <c r="EE43" s="48">
        <f t="shared" si="260"/>
        <v>0</v>
      </c>
      <c r="EF43" s="48">
        <f t="shared" si="261"/>
        <v>0</v>
      </c>
      <c r="EG43" s="48">
        <f t="shared" si="262"/>
        <v>0</v>
      </c>
      <c r="EH43" s="48">
        <f t="shared" si="263"/>
        <v>0</v>
      </c>
      <c r="EI43" s="48">
        <f t="shared" si="264"/>
        <v>0</v>
      </c>
      <c r="EJ43" s="48">
        <f t="shared" si="265"/>
        <v>0</v>
      </c>
      <c r="EK43" s="48">
        <f t="shared" si="266"/>
        <v>0</v>
      </c>
      <c r="EL43" s="48">
        <f t="shared" si="267"/>
        <v>0</v>
      </c>
      <c r="EM43" s="48">
        <f t="shared" si="268"/>
        <v>0</v>
      </c>
      <c r="EN43" s="48">
        <f t="shared" si="269"/>
        <v>0</v>
      </c>
      <c r="EO43" s="48">
        <f t="shared" si="270"/>
        <v>0</v>
      </c>
      <c r="EP43" s="48">
        <f t="shared" si="271"/>
        <v>0</v>
      </c>
      <c r="EQ43" s="48">
        <f t="shared" si="272"/>
        <v>0</v>
      </c>
      <c r="ER43" s="48">
        <f t="shared" si="273"/>
        <v>0</v>
      </c>
      <c r="ES43" s="48">
        <f t="shared" si="274"/>
        <v>0</v>
      </c>
      <c r="ET43" s="48">
        <f t="shared" si="275"/>
        <v>0</v>
      </c>
      <c r="EU43" s="48">
        <f t="shared" si="276"/>
        <v>0</v>
      </c>
      <c r="EV43" s="48">
        <f t="shared" si="277"/>
        <v>0</v>
      </c>
      <c r="EW43" s="48">
        <f t="shared" si="278"/>
        <v>0</v>
      </c>
      <c r="EX43" s="48">
        <f t="shared" si="279"/>
        <v>0</v>
      </c>
      <c r="EY43" s="48">
        <f t="shared" si="280"/>
        <v>0</v>
      </c>
      <c r="EZ43" s="48">
        <f t="shared" si="281"/>
        <v>0</v>
      </c>
      <c r="FA43" s="48">
        <f t="shared" si="282"/>
        <v>0</v>
      </c>
      <c r="FB43" s="48">
        <f t="shared" si="283"/>
        <v>0</v>
      </c>
      <c r="FC43" s="48">
        <f t="shared" si="284"/>
        <v>0</v>
      </c>
      <c r="FD43" s="48">
        <f t="shared" si="285"/>
        <v>0</v>
      </c>
      <c r="FE43" s="48">
        <f t="shared" si="286"/>
        <v>0</v>
      </c>
      <c r="FF43" s="48">
        <f t="shared" si="287"/>
        <v>0</v>
      </c>
      <c r="FG43" s="48">
        <f t="shared" si="288"/>
        <v>0</v>
      </c>
      <c r="FH43" s="48">
        <f t="shared" si="289"/>
        <v>0</v>
      </c>
      <c r="FI43" s="48">
        <f t="shared" si="290"/>
        <v>0</v>
      </c>
      <c r="FJ43" s="48">
        <f t="shared" si="291"/>
        <v>0</v>
      </c>
      <c r="FK43" s="48">
        <f t="shared" si="292"/>
        <v>0</v>
      </c>
      <c r="FL43" s="48">
        <f t="shared" si="293"/>
        <v>0</v>
      </c>
      <c r="FM43" s="48">
        <f t="shared" si="294"/>
        <v>0</v>
      </c>
      <c r="FN43" s="48">
        <f t="shared" si="295"/>
        <v>0</v>
      </c>
      <c r="FO43" s="48">
        <f t="shared" si="296"/>
        <v>0</v>
      </c>
      <c r="FP43" s="48">
        <f t="shared" si="297"/>
        <v>0</v>
      </c>
      <c r="FQ43" s="48">
        <f t="shared" si="298"/>
        <v>0</v>
      </c>
      <c r="FR43" s="48">
        <f t="shared" si="299"/>
        <v>0</v>
      </c>
      <c r="FS43" s="48">
        <f t="shared" si="300"/>
        <v>0</v>
      </c>
      <c r="FT43" s="48">
        <f t="shared" si="301"/>
        <v>0</v>
      </c>
      <c r="FU43" s="48">
        <f t="shared" si="302"/>
        <v>0</v>
      </c>
      <c r="FV43" s="48">
        <f t="shared" si="303"/>
        <v>0</v>
      </c>
      <c r="FW43" s="48">
        <f t="shared" si="304"/>
        <v>0</v>
      </c>
      <c r="FX43" s="48">
        <f t="shared" si="305"/>
        <v>0</v>
      </c>
      <c r="FY43" s="48">
        <f t="shared" si="306"/>
        <v>0</v>
      </c>
      <c r="FZ43" s="48">
        <f t="shared" si="307"/>
        <v>0</v>
      </c>
      <c r="GA43" s="48">
        <f t="shared" si="308"/>
        <v>0</v>
      </c>
      <c r="GB43" s="48">
        <f t="shared" si="309"/>
        <v>0</v>
      </c>
      <c r="GC43" s="48">
        <f t="shared" si="310"/>
        <v>0</v>
      </c>
      <c r="GG43">
        <f t="shared" si="311"/>
        <v>0</v>
      </c>
    </row>
    <row r="44" spans="1:189" x14ac:dyDescent="0.25">
      <c r="A44" s="690"/>
      <c r="B44" s="690"/>
      <c r="C44" s="690"/>
      <c r="D44" s="690"/>
      <c r="E44" s="690"/>
      <c r="F44" s="690"/>
      <c r="G44" s="889"/>
      <c r="H44" s="690"/>
      <c r="I44" s="690"/>
      <c r="J44" s="690"/>
      <c r="K44" s="690"/>
      <c r="L44" s="690"/>
      <c r="M44" s="690"/>
      <c r="N44" s="507" t="str">
        <f t="shared" si="159"/>
        <v/>
      </c>
      <c r="O44" s="690"/>
      <c r="P44" s="507" t="str">
        <f t="shared" si="158"/>
        <v/>
      </c>
      <c r="Q44" s="690"/>
      <c r="R44" s="690"/>
      <c r="S44" s="690"/>
      <c r="T44" s="690"/>
      <c r="U44">
        <f t="shared" si="312"/>
        <v>0</v>
      </c>
      <c r="V44">
        <f t="shared" si="313"/>
        <v>0</v>
      </c>
      <c r="X44">
        <f t="shared" si="314"/>
        <v>0</v>
      </c>
      <c r="Y44">
        <f t="shared" si="315"/>
        <v>0</v>
      </c>
      <c r="Z44">
        <f t="shared" si="316"/>
        <v>0</v>
      </c>
      <c r="AA44">
        <f t="shared" si="317"/>
        <v>0</v>
      </c>
      <c r="AB44" s="25"/>
      <c r="AC44" s="25"/>
      <c r="AD44" s="25"/>
      <c r="AF44" s="48" t="s">
        <v>699</v>
      </c>
      <c r="AG44" s="689"/>
      <c r="AH44" s="689"/>
      <c r="AI44" s="48">
        <f t="shared" si="160"/>
        <v>0</v>
      </c>
      <c r="AJ44" s="48">
        <f t="shared" si="161"/>
        <v>0</v>
      </c>
      <c r="AK44" s="48">
        <f t="shared" si="162"/>
        <v>0</v>
      </c>
      <c r="AL44" s="48">
        <f t="shared" si="163"/>
        <v>0</v>
      </c>
      <c r="AM44" s="48">
        <f t="shared" si="164"/>
        <v>0</v>
      </c>
      <c r="AN44" s="48">
        <f t="shared" si="165"/>
        <v>0</v>
      </c>
      <c r="AO44" s="48">
        <f t="shared" si="166"/>
        <v>0</v>
      </c>
      <c r="AP44" s="48">
        <f t="shared" si="167"/>
        <v>0</v>
      </c>
      <c r="AQ44" s="48">
        <f t="shared" si="168"/>
        <v>0</v>
      </c>
      <c r="AR44" s="48">
        <f t="shared" si="169"/>
        <v>0</v>
      </c>
      <c r="AS44" s="48">
        <f t="shared" si="170"/>
        <v>0</v>
      </c>
      <c r="AT44" s="48">
        <f t="shared" si="171"/>
        <v>0</v>
      </c>
      <c r="AU44" s="48">
        <f t="shared" si="172"/>
        <v>0</v>
      </c>
      <c r="AV44" s="48">
        <f t="shared" si="173"/>
        <v>0</v>
      </c>
      <c r="AW44" s="48">
        <f t="shared" si="174"/>
        <v>0</v>
      </c>
      <c r="AX44" s="48">
        <f t="shared" si="175"/>
        <v>0</v>
      </c>
      <c r="AY44" s="48">
        <f t="shared" si="176"/>
        <v>0</v>
      </c>
      <c r="AZ44" s="48">
        <f t="shared" si="177"/>
        <v>0</v>
      </c>
      <c r="BA44" s="48">
        <f t="shared" si="178"/>
        <v>0</v>
      </c>
      <c r="BB44" s="48">
        <f t="shared" si="179"/>
        <v>0</v>
      </c>
      <c r="BC44" s="48">
        <f t="shared" si="180"/>
        <v>0</v>
      </c>
      <c r="BD44" s="48">
        <f t="shared" si="181"/>
        <v>0</v>
      </c>
      <c r="BE44" s="48">
        <f t="shared" si="182"/>
        <v>0</v>
      </c>
      <c r="BF44" s="48">
        <f t="shared" si="183"/>
        <v>0</v>
      </c>
      <c r="BG44" s="48">
        <f t="shared" si="184"/>
        <v>0</v>
      </c>
      <c r="BH44" s="48">
        <f t="shared" si="185"/>
        <v>0</v>
      </c>
      <c r="BI44" s="48">
        <f t="shared" si="186"/>
        <v>0</v>
      </c>
      <c r="BJ44" s="48">
        <f t="shared" si="187"/>
        <v>0</v>
      </c>
      <c r="BK44" s="48">
        <f t="shared" si="188"/>
        <v>0</v>
      </c>
      <c r="BL44" s="48">
        <f t="shared" si="189"/>
        <v>0</v>
      </c>
      <c r="BM44" s="48">
        <f t="shared" si="190"/>
        <v>0</v>
      </c>
      <c r="BN44" s="48">
        <f t="shared" si="191"/>
        <v>0</v>
      </c>
      <c r="BO44" s="48">
        <f t="shared" si="192"/>
        <v>0</v>
      </c>
      <c r="BP44" s="48">
        <f t="shared" si="193"/>
        <v>0</v>
      </c>
      <c r="BQ44" s="48">
        <f t="shared" si="194"/>
        <v>0</v>
      </c>
      <c r="BR44" s="48">
        <f t="shared" si="195"/>
        <v>0</v>
      </c>
      <c r="BS44" s="48">
        <f t="shared" si="196"/>
        <v>0</v>
      </c>
      <c r="BT44" s="48">
        <f t="shared" si="197"/>
        <v>0</v>
      </c>
      <c r="BU44" s="48">
        <f t="shared" si="198"/>
        <v>0</v>
      </c>
      <c r="BV44" s="48">
        <f t="shared" si="199"/>
        <v>0</v>
      </c>
      <c r="BW44" s="48">
        <f t="shared" si="200"/>
        <v>0</v>
      </c>
      <c r="BX44" s="48">
        <f t="shared" si="201"/>
        <v>0</v>
      </c>
      <c r="BY44" s="48">
        <f t="shared" si="202"/>
        <v>0</v>
      </c>
      <c r="BZ44" s="48">
        <f t="shared" si="203"/>
        <v>0</v>
      </c>
      <c r="CA44" s="48">
        <f t="shared" si="204"/>
        <v>0</v>
      </c>
      <c r="CB44" s="48">
        <f t="shared" si="205"/>
        <v>0</v>
      </c>
      <c r="CC44" s="48">
        <f t="shared" si="206"/>
        <v>0</v>
      </c>
      <c r="CD44" s="48">
        <f t="shared" si="207"/>
        <v>0</v>
      </c>
      <c r="CE44" s="48">
        <f t="shared" si="208"/>
        <v>0</v>
      </c>
      <c r="CF44" s="48">
        <f t="shared" si="209"/>
        <v>0</v>
      </c>
      <c r="CG44" s="48">
        <f t="shared" si="210"/>
        <v>0</v>
      </c>
      <c r="CH44" s="48">
        <f t="shared" si="211"/>
        <v>0</v>
      </c>
      <c r="CI44" s="48">
        <f t="shared" si="212"/>
        <v>0</v>
      </c>
      <c r="CJ44" s="48">
        <f t="shared" si="213"/>
        <v>0</v>
      </c>
      <c r="CK44" s="48">
        <f t="shared" si="214"/>
        <v>0</v>
      </c>
      <c r="CL44" s="48">
        <f t="shared" si="215"/>
        <v>0</v>
      </c>
      <c r="CM44" s="48">
        <f t="shared" si="216"/>
        <v>0</v>
      </c>
      <c r="CN44" s="48">
        <f t="shared" si="217"/>
        <v>0</v>
      </c>
      <c r="CO44" s="48">
        <f t="shared" si="218"/>
        <v>0</v>
      </c>
      <c r="CP44" s="48">
        <f t="shared" si="219"/>
        <v>0</v>
      </c>
      <c r="CQ44" s="48">
        <f t="shared" si="220"/>
        <v>0</v>
      </c>
      <c r="CR44" s="48">
        <f t="shared" si="221"/>
        <v>0</v>
      </c>
      <c r="CS44" s="48">
        <f t="shared" si="222"/>
        <v>0</v>
      </c>
      <c r="CT44" s="48">
        <f t="shared" si="223"/>
        <v>0</v>
      </c>
      <c r="CU44" s="48">
        <f t="shared" si="224"/>
        <v>0</v>
      </c>
      <c r="CV44" s="48">
        <f t="shared" si="225"/>
        <v>0</v>
      </c>
      <c r="CW44" s="48">
        <f t="shared" si="226"/>
        <v>0</v>
      </c>
      <c r="CX44" s="48">
        <f t="shared" si="227"/>
        <v>0</v>
      </c>
      <c r="CY44" s="48">
        <f t="shared" si="228"/>
        <v>0</v>
      </c>
      <c r="CZ44" s="48">
        <f t="shared" si="229"/>
        <v>0</v>
      </c>
      <c r="DA44" s="48">
        <f t="shared" si="230"/>
        <v>0</v>
      </c>
      <c r="DB44" s="48">
        <f t="shared" si="231"/>
        <v>0</v>
      </c>
      <c r="DC44" s="48">
        <f t="shared" si="232"/>
        <v>0</v>
      </c>
      <c r="DD44" s="48">
        <f t="shared" si="233"/>
        <v>0</v>
      </c>
      <c r="DE44" s="48">
        <f t="shared" si="234"/>
        <v>0</v>
      </c>
      <c r="DF44" s="48">
        <f t="shared" si="235"/>
        <v>0</v>
      </c>
      <c r="DG44" s="48">
        <f t="shared" si="236"/>
        <v>0</v>
      </c>
      <c r="DH44" s="48">
        <f t="shared" si="237"/>
        <v>0</v>
      </c>
      <c r="DI44" s="48">
        <f t="shared" si="238"/>
        <v>0</v>
      </c>
      <c r="DJ44" s="48">
        <f t="shared" si="239"/>
        <v>0</v>
      </c>
      <c r="DK44" s="48">
        <f t="shared" si="240"/>
        <v>0</v>
      </c>
      <c r="DL44" s="48">
        <f t="shared" si="241"/>
        <v>0</v>
      </c>
      <c r="DM44" s="48">
        <f t="shared" si="242"/>
        <v>0</v>
      </c>
      <c r="DN44" s="48">
        <f t="shared" si="243"/>
        <v>0</v>
      </c>
      <c r="DO44" s="48">
        <f t="shared" si="244"/>
        <v>0</v>
      </c>
      <c r="DP44" s="48">
        <f t="shared" si="245"/>
        <v>0</v>
      </c>
      <c r="DQ44" s="48">
        <f t="shared" si="246"/>
        <v>0</v>
      </c>
      <c r="DR44" s="48">
        <f t="shared" si="247"/>
        <v>0</v>
      </c>
      <c r="DS44" s="48">
        <f t="shared" si="248"/>
        <v>0</v>
      </c>
      <c r="DT44" s="48">
        <f t="shared" si="249"/>
        <v>0</v>
      </c>
      <c r="DU44" s="48">
        <f t="shared" si="250"/>
        <v>0</v>
      </c>
      <c r="DV44" s="48">
        <f t="shared" si="251"/>
        <v>0</v>
      </c>
      <c r="DW44" s="48">
        <f t="shared" si="252"/>
        <v>0</v>
      </c>
      <c r="DX44" s="48">
        <f t="shared" si="253"/>
        <v>0</v>
      </c>
      <c r="DY44" s="48">
        <f t="shared" si="254"/>
        <v>0</v>
      </c>
      <c r="DZ44" s="48">
        <f t="shared" si="255"/>
        <v>0</v>
      </c>
      <c r="EA44" s="48">
        <f t="shared" si="256"/>
        <v>0</v>
      </c>
      <c r="EB44" s="48">
        <f t="shared" si="257"/>
        <v>0</v>
      </c>
      <c r="EC44" s="48">
        <f t="shared" si="258"/>
        <v>0</v>
      </c>
      <c r="ED44" s="48">
        <f t="shared" si="259"/>
        <v>0</v>
      </c>
      <c r="EE44" s="48">
        <f t="shared" si="260"/>
        <v>0</v>
      </c>
      <c r="EF44" s="48">
        <f t="shared" si="261"/>
        <v>0</v>
      </c>
      <c r="EG44" s="48">
        <f t="shared" si="262"/>
        <v>0</v>
      </c>
      <c r="EH44" s="48">
        <f t="shared" si="263"/>
        <v>0</v>
      </c>
      <c r="EI44" s="48">
        <f t="shared" si="264"/>
        <v>0</v>
      </c>
      <c r="EJ44" s="48">
        <f t="shared" si="265"/>
        <v>0</v>
      </c>
      <c r="EK44" s="48">
        <f t="shared" si="266"/>
        <v>0</v>
      </c>
      <c r="EL44" s="48">
        <f t="shared" si="267"/>
        <v>0</v>
      </c>
      <c r="EM44" s="48">
        <f t="shared" si="268"/>
        <v>0</v>
      </c>
      <c r="EN44" s="48">
        <f t="shared" si="269"/>
        <v>0</v>
      </c>
      <c r="EO44" s="48">
        <f t="shared" si="270"/>
        <v>0</v>
      </c>
      <c r="EP44" s="48">
        <f t="shared" si="271"/>
        <v>0</v>
      </c>
      <c r="EQ44" s="48">
        <f t="shared" si="272"/>
        <v>0</v>
      </c>
      <c r="ER44" s="48">
        <f t="shared" si="273"/>
        <v>0</v>
      </c>
      <c r="ES44" s="48">
        <f t="shared" si="274"/>
        <v>0</v>
      </c>
      <c r="ET44" s="48">
        <f t="shared" si="275"/>
        <v>0</v>
      </c>
      <c r="EU44" s="48">
        <f t="shared" si="276"/>
        <v>0</v>
      </c>
      <c r="EV44" s="48">
        <f t="shared" si="277"/>
        <v>0</v>
      </c>
      <c r="EW44" s="48">
        <f t="shared" si="278"/>
        <v>0</v>
      </c>
      <c r="EX44" s="48">
        <f t="shared" si="279"/>
        <v>0</v>
      </c>
      <c r="EY44" s="48">
        <f t="shared" si="280"/>
        <v>0</v>
      </c>
      <c r="EZ44" s="48">
        <f t="shared" si="281"/>
        <v>0</v>
      </c>
      <c r="FA44" s="48">
        <f t="shared" si="282"/>
        <v>0</v>
      </c>
      <c r="FB44" s="48">
        <f t="shared" si="283"/>
        <v>0</v>
      </c>
      <c r="FC44" s="48">
        <f t="shared" si="284"/>
        <v>0</v>
      </c>
      <c r="FD44" s="48">
        <f t="shared" si="285"/>
        <v>0</v>
      </c>
      <c r="FE44" s="48">
        <f t="shared" si="286"/>
        <v>0</v>
      </c>
      <c r="FF44" s="48">
        <f t="shared" si="287"/>
        <v>0</v>
      </c>
      <c r="FG44" s="48">
        <f t="shared" si="288"/>
        <v>0</v>
      </c>
      <c r="FH44" s="48">
        <f t="shared" si="289"/>
        <v>0</v>
      </c>
      <c r="FI44" s="48">
        <f t="shared" si="290"/>
        <v>0</v>
      </c>
      <c r="FJ44" s="48">
        <f t="shared" si="291"/>
        <v>0</v>
      </c>
      <c r="FK44" s="48">
        <f t="shared" si="292"/>
        <v>0</v>
      </c>
      <c r="FL44" s="48">
        <f t="shared" si="293"/>
        <v>0</v>
      </c>
      <c r="FM44" s="48">
        <f t="shared" si="294"/>
        <v>0</v>
      </c>
      <c r="FN44" s="48">
        <f t="shared" si="295"/>
        <v>0</v>
      </c>
      <c r="FO44" s="48">
        <f t="shared" si="296"/>
        <v>0</v>
      </c>
      <c r="FP44" s="48">
        <f t="shared" si="297"/>
        <v>0</v>
      </c>
      <c r="FQ44" s="48">
        <f t="shared" si="298"/>
        <v>0</v>
      </c>
      <c r="FR44" s="48">
        <f t="shared" si="299"/>
        <v>0</v>
      </c>
      <c r="FS44" s="48">
        <f t="shared" si="300"/>
        <v>0</v>
      </c>
      <c r="FT44" s="48">
        <f t="shared" si="301"/>
        <v>0</v>
      </c>
      <c r="FU44" s="48">
        <f t="shared" si="302"/>
        <v>0</v>
      </c>
      <c r="FV44" s="48">
        <f t="shared" si="303"/>
        <v>0</v>
      </c>
      <c r="FW44" s="48">
        <f t="shared" si="304"/>
        <v>0</v>
      </c>
      <c r="FX44" s="48">
        <f t="shared" si="305"/>
        <v>0</v>
      </c>
      <c r="FY44" s="48">
        <f t="shared" si="306"/>
        <v>0</v>
      </c>
      <c r="FZ44" s="48">
        <f t="shared" si="307"/>
        <v>0</v>
      </c>
      <c r="GA44" s="48">
        <f t="shared" si="308"/>
        <v>0</v>
      </c>
      <c r="GB44" s="48">
        <f t="shared" si="309"/>
        <v>0</v>
      </c>
      <c r="GC44" s="48">
        <f t="shared" si="310"/>
        <v>0</v>
      </c>
      <c r="GG44">
        <f t="shared" si="311"/>
        <v>0</v>
      </c>
    </row>
    <row r="45" spans="1:189" x14ac:dyDescent="0.25">
      <c r="A45" s="690"/>
      <c r="B45" s="690"/>
      <c r="C45" s="690"/>
      <c r="D45" s="690"/>
      <c r="E45" s="690"/>
      <c r="F45" s="690"/>
      <c r="G45" s="889"/>
      <c r="H45" s="690"/>
      <c r="I45" s="690"/>
      <c r="J45" s="690"/>
      <c r="K45" s="690"/>
      <c r="L45" s="690"/>
      <c r="M45" s="690"/>
      <c r="N45" s="507" t="str">
        <f t="shared" si="159"/>
        <v/>
      </c>
      <c r="O45" s="690"/>
      <c r="P45" s="507" t="str">
        <f t="shared" si="158"/>
        <v/>
      </c>
      <c r="Q45" s="690"/>
      <c r="R45" s="690"/>
      <c r="S45" s="690"/>
      <c r="T45" s="690"/>
      <c r="U45">
        <f t="shared" si="312"/>
        <v>0</v>
      </c>
      <c r="V45">
        <f t="shared" si="313"/>
        <v>0</v>
      </c>
      <c r="X45">
        <f t="shared" si="314"/>
        <v>0</v>
      </c>
      <c r="Y45">
        <f t="shared" si="315"/>
        <v>0</v>
      </c>
      <c r="Z45">
        <f t="shared" si="316"/>
        <v>0</v>
      </c>
      <c r="AA45">
        <f t="shared" si="317"/>
        <v>0</v>
      </c>
      <c r="AB45" s="25"/>
      <c r="AC45" s="25"/>
      <c r="AD45" s="25"/>
      <c r="AF45" s="48" t="s">
        <v>700</v>
      </c>
      <c r="AG45" s="689"/>
      <c r="AH45" s="689"/>
      <c r="AI45" s="48">
        <f t="shared" si="160"/>
        <v>0</v>
      </c>
      <c r="AJ45" s="48">
        <f t="shared" si="161"/>
        <v>0</v>
      </c>
      <c r="AK45" s="48">
        <f t="shared" si="162"/>
        <v>0</v>
      </c>
      <c r="AL45" s="48">
        <f t="shared" si="163"/>
        <v>0</v>
      </c>
      <c r="AM45" s="48">
        <f t="shared" si="164"/>
        <v>0</v>
      </c>
      <c r="AN45" s="48">
        <f t="shared" si="165"/>
        <v>0</v>
      </c>
      <c r="AO45" s="48">
        <f t="shared" si="166"/>
        <v>0</v>
      </c>
      <c r="AP45" s="48">
        <f t="shared" si="167"/>
        <v>0</v>
      </c>
      <c r="AQ45" s="48">
        <f t="shared" si="168"/>
        <v>0</v>
      </c>
      <c r="AR45" s="48">
        <f t="shared" si="169"/>
        <v>0</v>
      </c>
      <c r="AS45" s="48">
        <f t="shared" si="170"/>
        <v>0</v>
      </c>
      <c r="AT45" s="48">
        <f t="shared" si="171"/>
        <v>0</v>
      </c>
      <c r="AU45" s="48">
        <f t="shared" si="172"/>
        <v>0</v>
      </c>
      <c r="AV45" s="48">
        <f t="shared" si="173"/>
        <v>0</v>
      </c>
      <c r="AW45" s="48">
        <f t="shared" si="174"/>
        <v>0</v>
      </c>
      <c r="AX45" s="48">
        <f t="shared" si="175"/>
        <v>0</v>
      </c>
      <c r="AY45" s="48">
        <f t="shared" si="176"/>
        <v>0</v>
      </c>
      <c r="AZ45" s="48">
        <f t="shared" si="177"/>
        <v>0</v>
      </c>
      <c r="BA45" s="48">
        <f t="shared" si="178"/>
        <v>0</v>
      </c>
      <c r="BB45" s="48">
        <f t="shared" si="179"/>
        <v>0</v>
      </c>
      <c r="BC45" s="48">
        <f t="shared" si="180"/>
        <v>0</v>
      </c>
      <c r="BD45" s="48">
        <f t="shared" si="181"/>
        <v>0</v>
      </c>
      <c r="BE45" s="48">
        <f t="shared" si="182"/>
        <v>0</v>
      </c>
      <c r="BF45" s="48">
        <f t="shared" si="183"/>
        <v>0</v>
      </c>
      <c r="BG45" s="48">
        <f t="shared" si="184"/>
        <v>0</v>
      </c>
      <c r="BH45" s="48">
        <f t="shared" si="185"/>
        <v>0</v>
      </c>
      <c r="BI45" s="48">
        <f t="shared" si="186"/>
        <v>0</v>
      </c>
      <c r="BJ45" s="48">
        <f t="shared" si="187"/>
        <v>0</v>
      </c>
      <c r="BK45" s="48">
        <f t="shared" si="188"/>
        <v>0</v>
      </c>
      <c r="BL45" s="48">
        <f t="shared" si="189"/>
        <v>0</v>
      </c>
      <c r="BM45" s="48">
        <f t="shared" si="190"/>
        <v>0</v>
      </c>
      <c r="BN45" s="48">
        <f t="shared" si="191"/>
        <v>0</v>
      </c>
      <c r="BO45" s="48">
        <f t="shared" si="192"/>
        <v>0</v>
      </c>
      <c r="BP45" s="48">
        <f t="shared" si="193"/>
        <v>0</v>
      </c>
      <c r="BQ45" s="48">
        <f t="shared" si="194"/>
        <v>0</v>
      </c>
      <c r="BR45" s="48">
        <f t="shared" si="195"/>
        <v>0</v>
      </c>
      <c r="BS45" s="48">
        <f t="shared" si="196"/>
        <v>0</v>
      </c>
      <c r="BT45" s="48">
        <f t="shared" si="197"/>
        <v>0</v>
      </c>
      <c r="BU45" s="48">
        <f t="shared" si="198"/>
        <v>0</v>
      </c>
      <c r="BV45" s="48">
        <f t="shared" si="199"/>
        <v>0</v>
      </c>
      <c r="BW45" s="48">
        <f t="shared" si="200"/>
        <v>0</v>
      </c>
      <c r="BX45" s="48">
        <f t="shared" si="201"/>
        <v>0</v>
      </c>
      <c r="BY45" s="48">
        <f t="shared" si="202"/>
        <v>0</v>
      </c>
      <c r="BZ45" s="48">
        <f t="shared" si="203"/>
        <v>0</v>
      </c>
      <c r="CA45" s="48">
        <f t="shared" si="204"/>
        <v>0</v>
      </c>
      <c r="CB45" s="48">
        <f t="shared" si="205"/>
        <v>0</v>
      </c>
      <c r="CC45" s="48">
        <f t="shared" si="206"/>
        <v>0</v>
      </c>
      <c r="CD45" s="48">
        <f t="shared" si="207"/>
        <v>0</v>
      </c>
      <c r="CE45" s="48">
        <f t="shared" si="208"/>
        <v>0</v>
      </c>
      <c r="CF45" s="48">
        <f t="shared" si="209"/>
        <v>0</v>
      </c>
      <c r="CG45" s="48">
        <f t="shared" si="210"/>
        <v>0</v>
      </c>
      <c r="CH45" s="48">
        <f t="shared" si="211"/>
        <v>0</v>
      </c>
      <c r="CI45" s="48">
        <f t="shared" si="212"/>
        <v>0</v>
      </c>
      <c r="CJ45" s="48">
        <f t="shared" si="213"/>
        <v>0</v>
      </c>
      <c r="CK45" s="48">
        <f t="shared" si="214"/>
        <v>0</v>
      </c>
      <c r="CL45" s="48">
        <f t="shared" si="215"/>
        <v>0</v>
      </c>
      <c r="CM45" s="48">
        <f t="shared" si="216"/>
        <v>0</v>
      </c>
      <c r="CN45" s="48">
        <f t="shared" si="217"/>
        <v>0</v>
      </c>
      <c r="CO45" s="48">
        <f t="shared" si="218"/>
        <v>0</v>
      </c>
      <c r="CP45" s="48">
        <f t="shared" si="219"/>
        <v>0</v>
      </c>
      <c r="CQ45" s="48">
        <f t="shared" si="220"/>
        <v>0</v>
      </c>
      <c r="CR45" s="48">
        <f t="shared" si="221"/>
        <v>0</v>
      </c>
      <c r="CS45" s="48">
        <f t="shared" si="222"/>
        <v>0</v>
      </c>
      <c r="CT45" s="48">
        <f t="shared" si="223"/>
        <v>0</v>
      </c>
      <c r="CU45" s="48">
        <f t="shared" si="224"/>
        <v>0</v>
      </c>
      <c r="CV45" s="48">
        <f t="shared" si="225"/>
        <v>0</v>
      </c>
      <c r="CW45" s="48">
        <f t="shared" si="226"/>
        <v>0</v>
      </c>
      <c r="CX45" s="48">
        <f t="shared" si="227"/>
        <v>0</v>
      </c>
      <c r="CY45" s="48">
        <f t="shared" si="228"/>
        <v>0</v>
      </c>
      <c r="CZ45" s="48">
        <f t="shared" si="229"/>
        <v>0</v>
      </c>
      <c r="DA45" s="48">
        <f t="shared" si="230"/>
        <v>0</v>
      </c>
      <c r="DB45" s="48">
        <f t="shared" si="231"/>
        <v>0</v>
      </c>
      <c r="DC45" s="48">
        <f t="shared" si="232"/>
        <v>0</v>
      </c>
      <c r="DD45" s="48">
        <f t="shared" si="233"/>
        <v>0</v>
      </c>
      <c r="DE45" s="48">
        <f t="shared" si="234"/>
        <v>0</v>
      </c>
      <c r="DF45" s="48">
        <f t="shared" si="235"/>
        <v>0</v>
      </c>
      <c r="DG45" s="48">
        <f t="shared" si="236"/>
        <v>0</v>
      </c>
      <c r="DH45" s="48">
        <f t="shared" si="237"/>
        <v>0</v>
      </c>
      <c r="DI45" s="48">
        <f t="shared" si="238"/>
        <v>0</v>
      </c>
      <c r="DJ45" s="48">
        <f t="shared" si="239"/>
        <v>0</v>
      </c>
      <c r="DK45" s="48">
        <f t="shared" si="240"/>
        <v>0</v>
      </c>
      <c r="DL45" s="48">
        <f t="shared" si="241"/>
        <v>0</v>
      </c>
      <c r="DM45" s="48">
        <f t="shared" si="242"/>
        <v>0</v>
      </c>
      <c r="DN45" s="48">
        <f t="shared" si="243"/>
        <v>0</v>
      </c>
      <c r="DO45" s="48">
        <f t="shared" si="244"/>
        <v>0</v>
      </c>
      <c r="DP45" s="48">
        <f t="shared" si="245"/>
        <v>0</v>
      </c>
      <c r="DQ45" s="48">
        <f t="shared" si="246"/>
        <v>0</v>
      </c>
      <c r="DR45" s="48">
        <f t="shared" si="247"/>
        <v>0</v>
      </c>
      <c r="DS45" s="48">
        <f t="shared" si="248"/>
        <v>0</v>
      </c>
      <c r="DT45" s="48">
        <f t="shared" si="249"/>
        <v>0</v>
      </c>
      <c r="DU45" s="48">
        <f t="shared" si="250"/>
        <v>0</v>
      </c>
      <c r="DV45" s="48">
        <f t="shared" si="251"/>
        <v>0</v>
      </c>
      <c r="DW45" s="48">
        <f t="shared" si="252"/>
        <v>0</v>
      </c>
      <c r="DX45" s="48">
        <f t="shared" si="253"/>
        <v>0</v>
      </c>
      <c r="DY45" s="48">
        <f t="shared" si="254"/>
        <v>0</v>
      </c>
      <c r="DZ45" s="48">
        <f t="shared" si="255"/>
        <v>0</v>
      </c>
      <c r="EA45" s="48">
        <f t="shared" si="256"/>
        <v>0</v>
      </c>
      <c r="EB45" s="48">
        <f t="shared" si="257"/>
        <v>0</v>
      </c>
      <c r="EC45" s="48">
        <f t="shared" si="258"/>
        <v>0</v>
      </c>
      <c r="ED45" s="48">
        <f t="shared" si="259"/>
        <v>0</v>
      </c>
      <c r="EE45" s="48">
        <f t="shared" si="260"/>
        <v>0</v>
      </c>
      <c r="EF45" s="48">
        <f t="shared" si="261"/>
        <v>0</v>
      </c>
      <c r="EG45" s="48">
        <f t="shared" si="262"/>
        <v>0</v>
      </c>
      <c r="EH45" s="48">
        <f t="shared" si="263"/>
        <v>0</v>
      </c>
      <c r="EI45" s="48">
        <f t="shared" si="264"/>
        <v>0</v>
      </c>
      <c r="EJ45" s="48">
        <f t="shared" si="265"/>
        <v>0</v>
      </c>
      <c r="EK45" s="48">
        <f t="shared" si="266"/>
        <v>0</v>
      </c>
      <c r="EL45" s="48">
        <f t="shared" si="267"/>
        <v>0</v>
      </c>
      <c r="EM45" s="48">
        <f t="shared" si="268"/>
        <v>0</v>
      </c>
      <c r="EN45" s="48">
        <f t="shared" si="269"/>
        <v>0</v>
      </c>
      <c r="EO45" s="48">
        <f t="shared" si="270"/>
        <v>0</v>
      </c>
      <c r="EP45" s="48">
        <f t="shared" si="271"/>
        <v>0</v>
      </c>
      <c r="EQ45" s="48">
        <f t="shared" si="272"/>
        <v>0</v>
      </c>
      <c r="ER45" s="48">
        <f t="shared" si="273"/>
        <v>0</v>
      </c>
      <c r="ES45" s="48">
        <f t="shared" si="274"/>
        <v>0</v>
      </c>
      <c r="ET45" s="48">
        <f t="shared" si="275"/>
        <v>0</v>
      </c>
      <c r="EU45" s="48">
        <f t="shared" si="276"/>
        <v>0</v>
      </c>
      <c r="EV45" s="48">
        <f t="shared" si="277"/>
        <v>0</v>
      </c>
      <c r="EW45" s="48">
        <f t="shared" si="278"/>
        <v>0</v>
      </c>
      <c r="EX45" s="48">
        <f t="shared" si="279"/>
        <v>0</v>
      </c>
      <c r="EY45" s="48">
        <f t="shared" si="280"/>
        <v>0</v>
      </c>
      <c r="EZ45" s="48">
        <f t="shared" si="281"/>
        <v>0</v>
      </c>
      <c r="FA45" s="48">
        <f t="shared" si="282"/>
        <v>0</v>
      </c>
      <c r="FB45" s="48">
        <f t="shared" si="283"/>
        <v>0</v>
      </c>
      <c r="FC45" s="48">
        <f t="shared" si="284"/>
        <v>0</v>
      </c>
      <c r="FD45" s="48">
        <f t="shared" si="285"/>
        <v>0</v>
      </c>
      <c r="FE45" s="48">
        <f t="shared" si="286"/>
        <v>0</v>
      </c>
      <c r="FF45" s="48">
        <f t="shared" si="287"/>
        <v>0</v>
      </c>
      <c r="FG45" s="48">
        <f t="shared" si="288"/>
        <v>0</v>
      </c>
      <c r="FH45" s="48">
        <f t="shared" si="289"/>
        <v>0</v>
      </c>
      <c r="FI45" s="48">
        <f t="shared" si="290"/>
        <v>0</v>
      </c>
      <c r="FJ45" s="48">
        <f t="shared" si="291"/>
        <v>0</v>
      </c>
      <c r="FK45" s="48">
        <f t="shared" si="292"/>
        <v>0</v>
      </c>
      <c r="FL45" s="48">
        <f t="shared" si="293"/>
        <v>0</v>
      </c>
      <c r="FM45" s="48">
        <f t="shared" si="294"/>
        <v>0</v>
      </c>
      <c r="FN45" s="48">
        <f t="shared" si="295"/>
        <v>0</v>
      </c>
      <c r="FO45" s="48">
        <f t="shared" si="296"/>
        <v>0</v>
      </c>
      <c r="FP45" s="48">
        <f t="shared" si="297"/>
        <v>0</v>
      </c>
      <c r="FQ45" s="48">
        <f t="shared" si="298"/>
        <v>0</v>
      </c>
      <c r="FR45" s="48">
        <f t="shared" si="299"/>
        <v>0</v>
      </c>
      <c r="FS45" s="48">
        <f t="shared" si="300"/>
        <v>0</v>
      </c>
      <c r="FT45" s="48">
        <f t="shared" si="301"/>
        <v>0</v>
      </c>
      <c r="FU45" s="48">
        <f t="shared" si="302"/>
        <v>0</v>
      </c>
      <c r="FV45" s="48">
        <f t="shared" si="303"/>
        <v>0</v>
      </c>
      <c r="FW45" s="48">
        <f t="shared" si="304"/>
        <v>0</v>
      </c>
      <c r="FX45" s="48">
        <f t="shared" si="305"/>
        <v>0</v>
      </c>
      <c r="FY45" s="48">
        <f t="shared" si="306"/>
        <v>0</v>
      </c>
      <c r="FZ45" s="48">
        <f t="shared" si="307"/>
        <v>0</v>
      </c>
      <c r="GA45" s="48">
        <f t="shared" si="308"/>
        <v>0</v>
      </c>
      <c r="GB45" s="48">
        <f t="shared" si="309"/>
        <v>0</v>
      </c>
      <c r="GC45" s="48">
        <f t="shared" si="310"/>
        <v>0</v>
      </c>
      <c r="GG45">
        <f t="shared" si="311"/>
        <v>0</v>
      </c>
    </row>
    <row r="46" spans="1:189" x14ac:dyDescent="0.25">
      <c r="A46" s="690"/>
      <c r="B46" s="690"/>
      <c r="C46" s="690"/>
      <c r="D46" s="690"/>
      <c r="E46" s="690"/>
      <c r="F46" s="690"/>
      <c r="G46" s="889"/>
      <c r="H46" s="690"/>
      <c r="I46" s="690"/>
      <c r="J46" s="690"/>
      <c r="K46" s="690"/>
      <c r="L46" s="690"/>
      <c r="M46" s="690"/>
      <c r="N46" s="507" t="str">
        <f t="shared" si="159"/>
        <v/>
      </c>
      <c r="O46" s="690"/>
      <c r="P46" s="507" t="str">
        <f t="shared" si="158"/>
        <v/>
      </c>
      <c r="Q46" s="690"/>
      <c r="R46" s="690"/>
      <c r="S46" s="690"/>
      <c r="T46" s="690"/>
      <c r="U46">
        <f t="shared" si="312"/>
        <v>0</v>
      </c>
      <c r="V46">
        <f t="shared" si="313"/>
        <v>0</v>
      </c>
      <c r="X46">
        <f t="shared" si="314"/>
        <v>0</v>
      </c>
      <c r="Y46">
        <f t="shared" si="315"/>
        <v>0</v>
      </c>
      <c r="Z46">
        <f t="shared" si="316"/>
        <v>0</v>
      </c>
      <c r="AA46">
        <f t="shared" si="317"/>
        <v>0</v>
      </c>
      <c r="AB46" s="25"/>
      <c r="AC46" s="25"/>
      <c r="AD46" s="25"/>
      <c r="AF46" s="48" t="s">
        <v>701</v>
      </c>
      <c r="AG46" s="689"/>
      <c r="AH46" s="689"/>
      <c r="AI46" s="48">
        <f t="shared" si="160"/>
        <v>0</v>
      </c>
      <c r="AJ46" s="48">
        <f t="shared" si="161"/>
        <v>0</v>
      </c>
      <c r="AK46" s="48">
        <f t="shared" si="162"/>
        <v>0</v>
      </c>
      <c r="AL46" s="48">
        <f t="shared" si="163"/>
        <v>0</v>
      </c>
      <c r="AM46" s="48">
        <f t="shared" si="164"/>
        <v>0</v>
      </c>
      <c r="AN46" s="48">
        <f t="shared" si="165"/>
        <v>0</v>
      </c>
      <c r="AO46" s="48">
        <f t="shared" si="166"/>
        <v>0</v>
      </c>
      <c r="AP46" s="48">
        <f t="shared" si="167"/>
        <v>0</v>
      </c>
      <c r="AQ46" s="48">
        <f t="shared" si="168"/>
        <v>0</v>
      </c>
      <c r="AR46" s="48">
        <f t="shared" si="169"/>
        <v>0</v>
      </c>
      <c r="AS46" s="48">
        <f t="shared" si="170"/>
        <v>0</v>
      </c>
      <c r="AT46" s="48">
        <f t="shared" si="171"/>
        <v>0</v>
      </c>
      <c r="AU46" s="48">
        <f t="shared" si="172"/>
        <v>0</v>
      </c>
      <c r="AV46" s="48">
        <f t="shared" si="173"/>
        <v>0</v>
      </c>
      <c r="AW46" s="48">
        <f t="shared" si="174"/>
        <v>0</v>
      </c>
      <c r="AX46" s="48">
        <f t="shared" si="175"/>
        <v>0</v>
      </c>
      <c r="AY46" s="48">
        <f t="shared" si="176"/>
        <v>0</v>
      </c>
      <c r="AZ46" s="48">
        <f t="shared" si="177"/>
        <v>0</v>
      </c>
      <c r="BA46" s="48">
        <f t="shared" si="178"/>
        <v>0</v>
      </c>
      <c r="BB46" s="48">
        <f t="shared" si="179"/>
        <v>0</v>
      </c>
      <c r="BC46" s="48">
        <f t="shared" si="180"/>
        <v>0</v>
      </c>
      <c r="BD46" s="48">
        <f t="shared" si="181"/>
        <v>0</v>
      </c>
      <c r="BE46" s="48">
        <f t="shared" si="182"/>
        <v>0</v>
      </c>
      <c r="BF46" s="48">
        <f t="shared" si="183"/>
        <v>0</v>
      </c>
      <c r="BG46" s="48">
        <f t="shared" si="184"/>
        <v>0</v>
      </c>
      <c r="BH46" s="48">
        <f t="shared" si="185"/>
        <v>0</v>
      </c>
      <c r="BI46" s="48">
        <f t="shared" si="186"/>
        <v>0</v>
      </c>
      <c r="BJ46" s="48">
        <f t="shared" si="187"/>
        <v>0</v>
      </c>
      <c r="BK46" s="48">
        <f t="shared" si="188"/>
        <v>0</v>
      </c>
      <c r="BL46" s="48">
        <f t="shared" si="189"/>
        <v>0</v>
      </c>
      <c r="BM46" s="48">
        <f t="shared" si="190"/>
        <v>0</v>
      </c>
      <c r="BN46" s="48">
        <f t="shared" si="191"/>
        <v>0</v>
      </c>
      <c r="BO46" s="48">
        <f t="shared" si="192"/>
        <v>0</v>
      </c>
      <c r="BP46" s="48">
        <f t="shared" si="193"/>
        <v>0</v>
      </c>
      <c r="BQ46" s="48">
        <f t="shared" si="194"/>
        <v>0</v>
      </c>
      <c r="BR46" s="48">
        <f t="shared" si="195"/>
        <v>0</v>
      </c>
      <c r="BS46" s="48">
        <f t="shared" si="196"/>
        <v>0</v>
      </c>
      <c r="BT46" s="48">
        <f t="shared" si="197"/>
        <v>0</v>
      </c>
      <c r="BU46" s="48">
        <f t="shared" si="198"/>
        <v>0</v>
      </c>
      <c r="BV46" s="48">
        <f t="shared" si="199"/>
        <v>0</v>
      </c>
      <c r="BW46" s="48">
        <f t="shared" si="200"/>
        <v>0</v>
      </c>
      <c r="BX46" s="48">
        <f t="shared" si="201"/>
        <v>0</v>
      </c>
      <c r="BY46" s="48">
        <f t="shared" si="202"/>
        <v>0</v>
      </c>
      <c r="BZ46" s="48">
        <f t="shared" si="203"/>
        <v>0</v>
      </c>
      <c r="CA46" s="48">
        <f t="shared" si="204"/>
        <v>0</v>
      </c>
      <c r="CB46" s="48">
        <f t="shared" si="205"/>
        <v>0</v>
      </c>
      <c r="CC46" s="48">
        <f t="shared" si="206"/>
        <v>0</v>
      </c>
      <c r="CD46" s="48">
        <f t="shared" si="207"/>
        <v>0</v>
      </c>
      <c r="CE46" s="48">
        <f t="shared" si="208"/>
        <v>0</v>
      </c>
      <c r="CF46" s="48">
        <f t="shared" si="209"/>
        <v>0</v>
      </c>
      <c r="CG46" s="48">
        <f t="shared" si="210"/>
        <v>0</v>
      </c>
      <c r="CH46" s="48">
        <f t="shared" si="211"/>
        <v>0</v>
      </c>
      <c r="CI46" s="48">
        <f t="shared" si="212"/>
        <v>0</v>
      </c>
      <c r="CJ46" s="48">
        <f t="shared" si="213"/>
        <v>0</v>
      </c>
      <c r="CK46" s="48">
        <f t="shared" si="214"/>
        <v>0</v>
      </c>
      <c r="CL46" s="48">
        <f t="shared" si="215"/>
        <v>0</v>
      </c>
      <c r="CM46" s="48">
        <f t="shared" si="216"/>
        <v>0</v>
      </c>
      <c r="CN46" s="48">
        <f t="shared" si="217"/>
        <v>0</v>
      </c>
      <c r="CO46" s="48">
        <f t="shared" si="218"/>
        <v>0</v>
      </c>
      <c r="CP46" s="48">
        <f t="shared" si="219"/>
        <v>0</v>
      </c>
      <c r="CQ46" s="48">
        <f t="shared" si="220"/>
        <v>0</v>
      </c>
      <c r="CR46" s="48">
        <f t="shared" si="221"/>
        <v>0</v>
      </c>
      <c r="CS46" s="48">
        <f t="shared" si="222"/>
        <v>0</v>
      </c>
      <c r="CT46" s="48">
        <f t="shared" si="223"/>
        <v>0</v>
      </c>
      <c r="CU46" s="48">
        <f t="shared" si="224"/>
        <v>0</v>
      </c>
      <c r="CV46" s="48">
        <f t="shared" si="225"/>
        <v>0</v>
      </c>
      <c r="CW46" s="48">
        <f t="shared" si="226"/>
        <v>0</v>
      </c>
      <c r="CX46" s="48">
        <f t="shared" si="227"/>
        <v>0</v>
      </c>
      <c r="CY46" s="48">
        <f t="shared" si="228"/>
        <v>0</v>
      </c>
      <c r="CZ46" s="48">
        <f t="shared" si="229"/>
        <v>0</v>
      </c>
      <c r="DA46" s="48">
        <f t="shared" si="230"/>
        <v>0</v>
      </c>
      <c r="DB46" s="48">
        <f t="shared" si="231"/>
        <v>0</v>
      </c>
      <c r="DC46" s="48">
        <f t="shared" si="232"/>
        <v>0</v>
      </c>
      <c r="DD46" s="48">
        <f t="shared" si="233"/>
        <v>0</v>
      </c>
      <c r="DE46" s="48">
        <f t="shared" si="234"/>
        <v>0</v>
      </c>
      <c r="DF46" s="48">
        <f t="shared" si="235"/>
        <v>0</v>
      </c>
      <c r="DG46" s="48">
        <f t="shared" si="236"/>
        <v>0</v>
      </c>
      <c r="DH46" s="48">
        <f t="shared" si="237"/>
        <v>0</v>
      </c>
      <c r="DI46" s="48">
        <f t="shared" si="238"/>
        <v>0</v>
      </c>
      <c r="DJ46" s="48">
        <f t="shared" si="239"/>
        <v>0</v>
      </c>
      <c r="DK46" s="48">
        <f t="shared" si="240"/>
        <v>0</v>
      </c>
      <c r="DL46" s="48">
        <f t="shared" si="241"/>
        <v>0</v>
      </c>
      <c r="DM46" s="48">
        <f t="shared" si="242"/>
        <v>0</v>
      </c>
      <c r="DN46" s="48">
        <f t="shared" si="243"/>
        <v>0</v>
      </c>
      <c r="DO46" s="48">
        <f t="shared" si="244"/>
        <v>0</v>
      </c>
      <c r="DP46" s="48">
        <f t="shared" si="245"/>
        <v>0</v>
      </c>
      <c r="DQ46" s="48">
        <f t="shared" si="246"/>
        <v>0</v>
      </c>
      <c r="DR46" s="48">
        <f t="shared" si="247"/>
        <v>0</v>
      </c>
      <c r="DS46" s="48">
        <f t="shared" si="248"/>
        <v>0</v>
      </c>
      <c r="DT46" s="48">
        <f t="shared" si="249"/>
        <v>0</v>
      </c>
      <c r="DU46" s="48">
        <f t="shared" si="250"/>
        <v>0</v>
      </c>
      <c r="DV46" s="48">
        <f t="shared" si="251"/>
        <v>0</v>
      </c>
      <c r="DW46" s="48">
        <f t="shared" si="252"/>
        <v>0</v>
      </c>
      <c r="DX46" s="48">
        <f t="shared" si="253"/>
        <v>0</v>
      </c>
      <c r="DY46" s="48">
        <f t="shared" si="254"/>
        <v>0</v>
      </c>
      <c r="DZ46" s="48">
        <f t="shared" si="255"/>
        <v>0</v>
      </c>
      <c r="EA46" s="48">
        <f t="shared" si="256"/>
        <v>0</v>
      </c>
      <c r="EB46" s="48">
        <f t="shared" si="257"/>
        <v>0</v>
      </c>
      <c r="EC46" s="48">
        <f t="shared" si="258"/>
        <v>0</v>
      </c>
      <c r="ED46" s="48">
        <f t="shared" si="259"/>
        <v>0</v>
      </c>
      <c r="EE46" s="48">
        <f t="shared" si="260"/>
        <v>0</v>
      </c>
      <c r="EF46" s="48">
        <f t="shared" si="261"/>
        <v>0</v>
      </c>
      <c r="EG46" s="48">
        <f t="shared" si="262"/>
        <v>0</v>
      </c>
      <c r="EH46" s="48">
        <f t="shared" si="263"/>
        <v>0</v>
      </c>
      <c r="EI46" s="48">
        <f t="shared" si="264"/>
        <v>0</v>
      </c>
      <c r="EJ46" s="48">
        <f t="shared" si="265"/>
        <v>0</v>
      </c>
      <c r="EK46" s="48">
        <f t="shared" si="266"/>
        <v>0</v>
      </c>
      <c r="EL46" s="48">
        <f t="shared" si="267"/>
        <v>0</v>
      </c>
      <c r="EM46" s="48">
        <f t="shared" si="268"/>
        <v>0</v>
      </c>
      <c r="EN46" s="48">
        <f t="shared" si="269"/>
        <v>0</v>
      </c>
      <c r="EO46" s="48">
        <f t="shared" si="270"/>
        <v>0</v>
      </c>
      <c r="EP46" s="48">
        <f t="shared" si="271"/>
        <v>0</v>
      </c>
      <c r="EQ46" s="48">
        <f t="shared" si="272"/>
        <v>0</v>
      </c>
      <c r="ER46" s="48">
        <f t="shared" si="273"/>
        <v>0</v>
      </c>
      <c r="ES46" s="48">
        <f t="shared" si="274"/>
        <v>0</v>
      </c>
      <c r="ET46" s="48">
        <f t="shared" si="275"/>
        <v>0</v>
      </c>
      <c r="EU46" s="48">
        <f t="shared" si="276"/>
        <v>0</v>
      </c>
      <c r="EV46" s="48">
        <f t="shared" si="277"/>
        <v>0</v>
      </c>
      <c r="EW46" s="48">
        <f t="shared" si="278"/>
        <v>0</v>
      </c>
      <c r="EX46" s="48">
        <f t="shared" si="279"/>
        <v>0</v>
      </c>
      <c r="EY46" s="48">
        <f t="shared" si="280"/>
        <v>0</v>
      </c>
      <c r="EZ46" s="48">
        <f t="shared" si="281"/>
        <v>0</v>
      </c>
      <c r="FA46" s="48">
        <f t="shared" si="282"/>
        <v>0</v>
      </c>
      <c r="FB46" s="48">
        <f t="shared" si="283"/>
        <v>0</v>
      </c>
      <c r="FC46" s="48">
        <f t="shared" si="284"/>
        <v>0</v>
      </c>
      <c r="FD46" s="48">
        <f t="shared" si="285"/>
        <v>0</v>
      </c>
      <c r="FE46" s="48">
        <f t="shared" si="286"/>
        <v>0</v>
      </c>
      <c r="FF46" s="48">
        <f t="shared" si="287"/>
        <v>0</v>
      </c>
      <c r="FG46" s="48">
        <f t="shared" si="288"/>
        <v>0</v>
      </c>
      <c r="FH46" s="48">
        <f t="shared" si="289"/>
        <v>0</v>
      </c>
      <c r="FI46" s="48">
        <f t="shared" si="290"/>
        <v>0</v>
      </c>
      <c r="FJ46" s="48">
        <f t="shared" si="291"/>
        <v>0</v>
      </c>
      <c r="FK46" s="48">
        <f t="shared" si="292"/>
        <v>0</v>
      </c>
      <c r="FL46" s="48">
        <f t="shared" si="293"/>
        <v>0</v>
      </c>
      <c r="FM46" s="48">
        <f t="shared" si="294"/>
        <v>0</v>
      </c>
      <c r="FN46" s="48">
        <f t="shared" si="295"/>
        <v>0</v>
      </c>
      <c r="FO46" s="48">
        <f t="shared" si="296"/>
        <v>0</v>
      </c>
      <c r="FP46" s="48">
        <f t="shared" si="297"/>
        <v>0</v>
      </c>
      <c r="FQ46" s="48">
        <f t="shared" si="298"/>
        <v>0</v>
      </c>
      <c r="FR46" s="48">
        <f t="shared" si="299"/>
        <v>0</v>
      </c>
      <c r="FS46" s="48">
        <f t="shared" si="300"/>
        <v>0</v>
      </c>
      <c r="FT46" s="48">
        <f t="shared" si="301"/>
        <v>0</v>
      </c>
      <c r="FU46" s="48">
        <f t="shared" si="302"/>
        <v>0</v>
      </c>
      <c r="FV46" s="48">
        <f t="shared" si="303"/>
        <v>0</v>
      </c>
      <c r="FW46" s="48">
        <f t="shared" si="304"/>
        <v>0</v>
      </c>
      <c r="FX46" s="48">
        <f t="shared" si="305"/>
        <v>0</v>
      </c>
      <c r="FY46" s="48">
        <f t="shared" si="306"/>
        <v>0</v>
      </c>
      <c r="FZ46" s="48">
        <f t="shared" si="307"/>
        <v>0</v>
      </c>
      <c r="GA46" s="48">
        <f t="shared" si="308"/>
        <v>0</v>
      </c>
      <c r="GB46" s="48">
        <f t="shared" si="309"/>
        <v>0</v>
      </c>
      <c r="GC46" s="48">
        <f t="shared" si="310"/>
        <v>0</v>
      </c>
      <c r="GG46">
        <f t="shared" si="311"/>
        <v>0</v>
      </c>
    </row>
    <row r="47" spans="1:189" x14ac:dyDescent="0.25">
      <c r="A47" s="690"/>
      <c r="B47" s="690"/>
      <c r="C47" s="690"/>
      <c r="D47" s="690"/>
      <c r="E47" s="690"/>
      <c r="F47" s="690"/>
      <c r="G47" s="889"/>
      <c r="H47" s="690"/>
      <c r="I47" s="690"/>
      <c r="J47" s="690"/>
      <c r="K47" s="690"/>
      <c r="L47" s="690"/>
      <c r="M47" s="690"/>
      <c r="N47" s="507" t="str">
        <f t="shared" si="159"/>
        <v/>
      </c>
      <c r="O47" s="690"/>
      <c r="P47" s="507" t="str">
        <f t="shared" si="158"/>
        <v/>
      </c>
      <c r="Q47" s="690"/>
      <c r="R47" s="690"/>
      <c r="S47" s="690"/>
      <c r="T47" s="690"/>
      <c r="U47">
        <f t="shared" si="312"/>
        <v>0</v>
      </c>
      <c r="V47">
        <f t="shared" si="313"/>
        <v>0</v>
      </c>
      <c r="X47">
        <f t="shared" si="314"/>
        <v>0</v>
      </c>
      <c r="Y47">
        <f t="shared" si="315"/>
        <v>0</v>
      </c>
      <c r="Z47">
        <f t="shared" si="316"/>
        <v>0</v>
      </c>
      <c r="AA47">
        <f t="shared" si="317"/>
        <v>0</v>
      </c>
      <c r="AB47" s="25"/>
      <c r="AC47" s="25"/>
      <c r="AD47" s="25"/>
      <c r="AF47" s="48" t="s">
        <v>702</v>
      </c>
      <c r="AG47" s="689"/>
      <c r="AH47" s="689"/>
      <c r="AI47" s="48">
        <f t="shared" si="160"/>
        <v>0</v>
      </c>
      <c r="AJ47" s="48">
        <f t="shared" si="161"/>
        <v>0</v>
      </c>
      <c r="AK47" s="48">
        <f t="shared" si="162"/>
        <v>0</v>
      </c>
      <c r="AL47" s="48">
        <f t="shared" si="163"/>
        <v>0</v>
      </c>
      <c r="AM47" s="48">
        <f t="shared" si="164"/>
        <v>0</v>
      </c>
      <c r="AN47" s="48">
        <f t="shared" si="165"/>
        <v>0</v>
      </c>
      <c r="AO47" s="48">
        <f t="shared" si="166"/>
        <v>0</v>
      </c>
      <c r="AP47" s="48">
        <f t="shared" si="167"/>
        <v>0</v>
      </c>
      <c r="AQ47" s="48">
        <f t="shared" si="168"/>
        <v>0</v>
      </c>
      <c r="AR47" s="48">
        <f t="shared" si="169"/>
        <v>0</v>
      </c>
      <c r="AS47" s="48">
        <f t="shared" si="170"/>
        <v>0</v>
      </c>
      <c r="AT47" s="48">
        <f t="shared" si="171"/>
        <v>0</v>
      </c>
      <c r="AU47" s="48">
        <f t="shared" si="172"/>
        <v>0</v>
      </c>
      <c r="AV47" s="48">
        <f t="shared" si="173"/>
        <v>0</v>
      </c>
      <c r="AW47" s="48">
        <f t="shared" si="174"/>
        <v>0</v>
      </c>
      <c r="AX47" s="48">
        <f t="shared" si="175"/>
        <v>0</v>
      </c>
      <c r="AY47" s="48">
        <f t="shared" si="176"/>
        <v>0</v>
      </c>
      <c r="AZ47" s="48">
        <f t="shared" si="177"/>
        <v>0</v>
      </c>
      <c r="BA47" s="48">
        <f t="shared" si="178"/>
        <v>0</v>
      </c>
      <c r="BB47" s="48">
        <f t="shared" si="179"/>
        <v>0</v>
      </c>
      <c r="BC47" s="48">
        <f t="shared" si="180"/>
        <v>0</v>
      </c>
      <c r="BD47" s="48">
        <f t="shared" si="181"/>
        <v>0</v>
      </c>
      <c r="BE47" s="48">
        <f t="shared" si="182"/>
        <v>0</v>
      </c>
      <c r="BF47" s="48">
        <f t="shared" si="183"/>
        <v>0</v>
      </c>
      <c r="BG47" s="48">
        <f t="shared" si="184"/>
        <v>0</v>
      </c>
      <c r="BH47" s="48">
        <f t="shared" si="185"/>
        <v>0</v>
      </c>
      <c r="BI47" s="48">
        <f t="shared" si="186"/>
        <v>0</v>
      </c>
      <c r="BJ47" s="48">
        <f t="shared" si="187"/>
        <v>0</v>
      </c>
      <c r="BK47" s="48">
        <f t="shared" si="188"/>
        <v>0</v>
      </c>
      <c r="BL47" s="48">
        <f t="shared" si="189"/>
        <v>0</v>
      </c>
      <c r="BM47" s="48">
        <f t="shared" si="190"/>
        <v>0</v>
      </c>
      <c r="BN47" s="48">
        <f t="shared" si="191"/>
        <v>0</v>
      </c>
      <c r="BO47" s="48">
        <f t="shared" si="192"/>
        <v>0</v>
      </c>
      <c r="BP47" s="48">
        <f t="shared" si="193"/>
        <v>0</v>
      </c>
      <c r="BQ47" s="48">
        <f t="shared" si="194"/>
        <v>0</v>
      </c>
      <c r="BR47" s="48">
        <f t="shared" si="195"/>
        <v>0</v>
      </c>
      <c r="BS47" s="48">
        <f t="shared" si="196"/>
        <v>0</v>
      </c>
      <c r="BT47" s="48">
        <f t="shared" si="197"/>
        <v>0</v>
      </c>
      <c r="BU47" s="48">
        <f t="shared" si="198"/>
        <v>0</v>
      </c>
      <c r="BV47" s="48">
        <f t="shared" si="199"/>
        <v>0</v>
      </c>
      <c r="BW47" s="48">
        <f t="shared" si="200"/>
        <v>0</v>
      </c>
      <c r="BX47" s="48">
        <f t="shared" si="201"/>
        <v>0</v>
      </c>
      <c r="BY47" s="48">
        <f t="shared" si="202"/>
        <v>0</v>
      </c>
      <c r="BZ47" s="48">
        <f t="shared" si="203"/>
        <v>0</v>
      </c>
      <c r="CA47" s="48">
        <f t="shared" si="204"/>
        <v>0</v>
      </c>
      <c r="CB47" s="48">
        <f t="shared" si="205"/>
        <v>0</v>
      </c>
      <c r="CC47" s="48">
        <f t="shared" si="206"/>
        <v>0</v>
      </c>
      <c r="CD47" s="48">
        <f t="shared" si="207"/>
        <v>0</v>
      </c>
      <c r="CE47" s="48">
        <f t="shared" si="208"/>
        <v>0</v>
      </c>
      <c r="CF47" s="48">
        <f t="shared" si="209"/>
        <v>0</v>
      </c>
      <c r="CG47" s="48">
        <f t="shared" si="210"/>
        <v>0</v>
      </c>
      <c r="CH47" s="48">
        <f t="shared" si="211"/>
        <v>0</v>
      </c>
      <c r="CI47" s="48">
        <f t="shared" si="212"/>
        <v>0</v>
      </c>
      <c r="CJ47" s="48">
        <f t="shared" si="213"/>
        <v>0</v>
      </c>
      <c r="CK47" s="48">
        <f t="shared" si="214"/>
        <v>0</v>
      </c>
      <c r="CL47" s="48">
        <f t="shared" si="215"/>
        <v>0</v>
      </c>
      <c r="CM47" s="48">
        <f t="shared" si="216"/>
        <v>0</v>
      </c>
      <c r="CN47" s="48">
        <f t="shared" si="217"/>
        <v>0</v>
      </c>
      <c r="CO47" s="48">
        <f t="shared" si="218"/>
        <v>0</v>
      </c>
      <c r="CP47" s="48">
        <f t="shared" si="219"/>
        <v>0</v>
      </c>
      <c r="CQ47" s="48">
        <f t="shared" si="220"/>
        <v>0</v>
      </c>
      <c r="CR47" s="48">
        <f t="shared" si="221"/>
        <v>0</v>
      </c>
      <c r="CS47" s="48">
        <f t="shared" si="222"/>
        <v>0</v>
      </c>
      <c r="CT47" s="48">
        <f t="shared" si="223"/>
        <v>0</v>
      </c>
      <c r="CU47" s="48">
        <f t="shared" si="224"/>
        <v>0</v>
      </c>
      <c r="CV47" s="48">
        <f t="shared" si="225"/>
        <v>0</v>
      </c>
      <c r="CW47" s="48">
        <f t="shared" si="226"/>
        <v>0</v>
      </c>
      <c r="CX47" s="48">
        <f t="shared" si="227"/>
        <v>0</v>
      </c>
      <c r="CY47" s="48">
        <f t="shared" si="228"/>
        <v>0</v>
      </c>
      <c r="CZ47" s="48">
        <f t="shared" si="229"/>
        <v>0</v>
      </c>
      <c r="DA47" s="48">
        <f t="shared" si="230"/>
        <v>0</v>
      </c>
      <c r="DB47" s="48">
        <f t="shared" si="231"/>
        <v>0</v>
      </c>
      <c r="DC47" s="48">
        <f t="shared" si="232"/>
        <v>0</v>
      </c>
      <c r="DD47" s="48">
        <f t="shared" si="233"/>
        <v>0</v>
      </c>
      <c r="DE47" s="48">
        <f t="shared" si="234"/>
        <v>0</v>
      </c>
      <c r="DF47" s="48">
        <f t="shared" si="235"/>
        <v>0</v>
      </c>
      <c r="DG47" s="48">
        <f t="shared" si="236"/>
        <v>0</v>
      </c>
      <c r="DH47" s="48">
        <f t="shared" si="237"/>
        <v>0</v>
      </c>
      <c r="DI47" s="48">
        <f t="shared" si="238"/>
        <v>0</v>
      </c>
      <c r="DJ47" s="48">
        <f t="shared" si="239"/>
        <v>0</v>
      </c>
      <c r="DK47" s="48">
        <f t="shared" si="240"/>
        <v>0</v>
      </c>
      <c r="DL47" s="48">
        <f t="shared" si="241"/>
        <v>0</v>
      </c>
      <c r="DM47" s="48">
        <f t="shared" si="242"/>
        <v>0</v>
      </c>
      <c r="DN47" s="48">
        <f t="shared" si="243"/>
        <v>0</v>
      </c>
      <c r="DO47" s="48">
        <f t="shared" si="244"/>
        <v>0</v>
      </c>
      <c r="DP47" s="48">
        <f t="shared" si="245"/>
        <v>0</v>
      </c>
      <c r="DQ47" s="48">
        <f t="shared" si="246"/>
        <v>0</v>
      </c>
      <c r="DR47" s="48">
        <f t="shared" si="247"/>
        <v>0</v>
      </c>
      <c r="DS47" s="48">
        <f t="shared" si="248"/>
        <v>0</v>
      </c>
      <c r="DT47" s="48">
        <f t="shared" si="249"/>
        <v>0</v>
      </c>
      <c r="DU47" s="48">
        <f t="shared" si="250"/>
        <v>0</v>
      </c>
      <c r="DV47" s="48">
        <f t="shared" si="251"/>
        <v>0</v>
      </c>
      <c r="DW47" s="48">
        <f t="shared" si="252"/>
        <v>0</v>
      </c>
      <c r="DX47" s="48">
        <f t="shared" si="253"/>
        <v>0</v>
      </c>
      <c r="DY47" s="48">
        <f t="shared" si="254"/>
        <v>0</v>
      </c>
      <c r="DZ47" s="48">
        <f t="shared" si="255"/>
        <v>0</v>
      </c>
      <c r="EA47" s="48">
        <f t="shared" si="256"/>
        <v>0</v>
      </c>
      <c r="EB47" s="48">
        <f t="shared" si="257"/>
        <v>0</v>
      </c>
      <c r="EC47" s="48">
        <f t="shared" si="258"/>
        <v>0</v>
      </c>
      <c r="ED47" s="48">
        <f t="shared" si="259"/>
        <v>0</v>
      </c>
      <c r="EE47" s="48">
        <f t="shared" si="260"/>
        <v>0</v>
      </c>
      <c r="EF47" s="48">
        <f t="shared" si="261"/>
        <v>0</v>
      </c>
      <c r="EG47" s="48">
        <f t="shared" si="262"/>
        <v>0</v>
      </c>
      <c r="EH47" s="48">
        <f t="shared" si="263"/>
        <v>0</v>
      </c>
      <c r="EI47" s="48">
        <f t="shared" si="264"/>
        <v>0</v>
      </c>
      <c r="EJ47" s="48">
        <f t="shared" si="265"/>
        <v>0</v>
      </c>
      <c r="EK47" s="48">
        <f t="shared" si="266"/>
        <v>0</v>
      </c>
      <c r="EL47" s="48">
        <f t="shared" si="267"/>
        <v>0</v>
      </c>
      <c r="EM47" s="48">
        <f t="shared" si="268"/>
        <v>0</v>
      </c>
      <c r="EN47" s="48">
        <f t="shared" si="269"/>
        <v>0</v>
      </c>
      <c r="EO47" s="48">
        <f t="shared" si="270"/>
        <v>0</v>
      </c>
      <c r="EP47" s="48">
        <f t="shared" si="271"/>
        <v>0</v>
      </c>
      <c r="EQ47" s="48">
        <f t="shared" si="272"/>
        <v>0</v>
      </c>
      <c r="ER47" s="48">
        <f t="shared" si="273"/>
        <v>0</v>
      </c>
      <c r="ES47" s="48">
        <f t="shared" si="274"/>
        <v>0</v>
      </c>
      <c r="ET47" s="48">
        <f t="shared" si="275"/>
        <v>0</v>
      </c>
      <c r="EU47" s="48">
        <f t="shared" si="276"/>
        <v>0</v>
      </c>
      <c r="EV47" s="48">
        <f t="shared" si="277"/>
        <v>0</v>
      </c>
      <c r="EW47" s="48">
        <f t="shared" si="278"/>
        <v>0</v>
      </c>
      <c r="EX47" s="48">
        <f t="shared" si="279"/>
        <v>0</v>
      </c>
      <c r="EY47" s="48">
        <f t="shared" si="280"/>
        <v>0</v>
      </c>
      <c r="EZ47" s="48">
        <f t="shared" si="281"/>
        <v>0</v>
      </c>
      <c r="FA47" s="48">
        <f t="shared" si="282"/>
        <v>0</v>
      </c>
      <c r="FB47" s="48">
        <f t="shared" si="283"/>
        <v>0</v>
      </c>
      <c r="FC47" s="48">
        <f t="shared" si="284"/>
        <v>0</v>
      </c>
      <c r="FD47" s="48">
        <f t="shared" si="285"/>
        <v>0</v>
      </c>
      <c r="FE47" s="48">
        <f t="shared" si="286"/>
        <v>0</v>
      </c>
      <c r="FF47" s="48">
        <f t="shared" si="287"/>
        <v>0</v>
      </c>
      <c r="FG47" s="48">
        <f t="shared" si="288"/>
        <v>0</v>
      </c>
      <c r="FH47" s="48">
        <f t="shared" si="289"/>
        <v>0</v>
      </c>
      <c r="FI47" s="48">
        <f t="shared" si="290"/>
        <v>0</v>
      </c>
      <c r="FJ47" s="48">
        <f t="shared" si="291"/>
        <v>0</v>
      </c>
      <c r="FK47" s="48">
        <f t="shared" si="292"/>
        <v>0</v>
      </c>
      <c r="FL47" s="48">
        <f t="shared" si="293"/>
        <v>0</v>
      </c>
      <c r="FM47" s="48">
        <f t="shared" si="294"/>
        <v>0</v>
      </c>
      <c r="FN47" s="48">
        <f t="shared" si="295"/>
        <v>0</v>
      </c>
      <c r="FO47" s="48">
        <f t="shared" si="296"/>
        <v>0</v>
      </c>
      <c r="FP47" s="48">
        <f t="shared" si="297"/>
        <v>0</v>
      </c>
      <c r="FQ47" s="48">
        <f t="shared" si="298"/>
        <v>0</v>
      </c>
      <c r="FR47" s="48">
        <f t="shared" si="299"/>
        <v>0</v>
      </c>
      <c r="FS47" s="48">
        <f t="shared" si="300"/>
        <v>0</v>
      </c>
      <c r="FT47" s="48">
        <f t="shared" si="301"/>
        <v>0</v>
      </c>
      <c r="FU47" s="48">
        <f t="shared" si="302"/>
        <v>0</v>
      </c>
      <c r="FV47" s="48">
        <f t="shared" si="303"/>
        <v>0</v>
      </c>
      <c r="FW47" s="48">
        <f t="shared" si="304"/>
        <v>0</v>
      </c>
      <c r="FX47" s="48">
        <f t="shared" si="305"/>
        <v>0</v>
      </c>
      <c r="FY47" s="48">
        <f t="shared" si="306"/>
        <v>0</v>
      </c>
      <c r="FZ47" s="48">
        <f t="shared" si="307"/>
        <v>0</v>
      </c>
      <c r="GA47" s="48">
        <f t="shared" si="308"/>
        <v>0</v>
      </c>
      <c r="GB47" s="48">
        <f t="shared" si="309"/>
        <v>0</v>
      </c>
      <c r="GC47" s="48">
        <f t="shared" si="310"/>
        <v>0</v>
      </c>
      <c r="GG47">
        <f t="shared" si="311"/>
        <v>0</v>
      </c>
    </row>
    <row r="48" spans="1:189" x14ac:dyDescent="0.25">
      <c r="A48" s="690"/>
      <c r="B48" s="690"/>
      <c r="C48" s="690"/>
      <c r="D48" s="690"/>
      <c r="E48" s="690"/>
      <c r="F48" s="690"/>
      <c r="G48" s="889"/>
      <c r="H48" s="690"/>
      <c r="I48" s="690"/>
      <c r="J48" s="690"/>
      <c r="K48" s="690"/>
      <c r="L48" s="690"/>
      <c r="M48" s="690"/>
      <c r="N48" s="507" t="str">
        <f t="shared" si="159"/>
        <v/>
      </c>
      <c r="O48" s="690"/>
      <c r="P48" s="507" t="str">
        <f t="shared" si="158"/>
        <v/>
      </c>
      <c r="Q48" s="690"/>
      <c r="R48" s="690"/>
      <c r="S48" s="690"/>
      <c r="T48" s="690"/>
      <c r="U48">
        <f t="shared" si="312"/>
        <v>0</v>
      </c>
      <c r="V48">
        <f t="shared" si="313"/>
        <v>0</v>
      </c>
      <c r="X48">
        <f t="shared" si="314"/>
        <v>0</v>
      </c>
      <c r="Y48">
        <f t="shared" si="315"/>
        <v>0</v>
      </c>
      <c r="Z48">
        <f t="shared" si="316"/>
        <v>0</v>
      </c>
      <c r="AA48">
        <f t="shared" si="317"/>
        <v>0</v>
      </c>
      <c r="AB48" s="25"/>
      <c r="AC48" s="25"/>
      <c r="AD48" s="25"/>
      <c r="AF48" s="48" t="s">
        <v>703</v>
      </c>
      <c r="AG48" s="689"/>
      <c r="AH48" s="689"/>
      <c r="AI48" s="48">
        <f t="shared" si="160"/>
        <v>0</v>
      </c>
      <c r="AJ48" s="48">
        <f t="shared" si="161"/>
        <v>0</v>
      </c>
      <c r="AK48" s="48">
        <f t="shared" si="162"/>
        <v>0</v>
      </c>
      <c r="AL48" s="48">
        <f t="shared" si="163"/>
        <v>0</v>
      </c>
      <c r="AM48" s="48">
        <f t="shared" si="164"/>
        <v>0</v>
      </c>
      <c r="AN48" s="48">
        <f t="shared" si="165"/>
        <v>0</v>
      </c>
      <c r="AO48" s="48">
        <f t="shared" si="166"/>
        <v>0</v>
      </c>
      <c r="AP48" s="48">
        <f t="shared" si="167"/>
        <v>0</v>
      </c>
      <c r="AQ48" s="48">
        <f t="shared" si="168"/>
        <v>0</v>
      </c>
      <c r="AR48" s="48">
        <f t="shared" si="169"/>
        <v>0</v>
      </c>
      <c r="AS48" s="48">
        <f t="shared" si="170"/>
        <v>0</v>
      </c>
      <c r="AT48" s="48">
        <f t="shared" si="171"/>
        <v>0</v>
      </c>
      <c r="AU48" s="48">
        <f t="shared" si="172"/>
        <v>0</v>
      </c>
      <c r="AV48" s="48">
        <f t="shared" si="173"/>
        <v>0</v>
      </c>
      <c r="AW48" s="48">
        <f t="shared" si="174"/>
        <v>0</v>
      </c>
      <c r="AX48" s="48">
        <f t="shared" si="175"/>
        <v>0</v>
      </c>
      <c r="AY48" s="48">
        <f t="shared" si="176"/>
        <v>0</v>
      </c>
      <c r="AZ48" s="48">
        <f t="shared" si="177"/>
        <v>0</v>
      </c>
      <c r="BA48" s="48">
        <f t="shared" si="178"/>
        <v>0</v>
      </c>
      <c r="BB48" s="48">
        <f t="shared" si="179"/>
        <v>0</v>
      </c>
      <c r="BC48" s="48">
        <f t="shared" si="180"/>
        <v>0</v>
      </c>
      <c r="BD48" s="48">
        <f t="shared" si="181"/>
        <v>0</v>
      </c>
      <c r="BE48" s="48">
        <f t="shared" si="182"/>
        <v>0</v>
      </c>
      <c r="BF48" s="48">
        <f t="shared" si="183"/>
        <v>0</v>
      </c>
      <c r="BG48" s="48">
        <f t="shared" si="184"/>
        <v>0</v>
      </c>
      <c r="BH48" s="48">
        <f t="shared" si="185"/>
        <v>0</v>
      </c>
      <c r="BI48" s="48">
        <f t="shared" si="186"/>
        <v>0</v>
      </c>
      <c r="BJ48" s="48">
        <f t="shared" si="187"/>
        <v>0</v>
      </c>
      <c r="BK48" s="48">
        <f t="shared" si="188"/>
        <v>0</v>
      </c>
      <c r="BL48" s="48">
        <f t="shared" si="189"/>
        <v>0</v>
      </c>
      <c r="BM48" s="48">
        <f t="shared" si="190"/>
        <v>0</v>
      </c>
      <c r="BN48" s="48">
        <f t="shared" si="191"/>
        <v>0</v>
      </c>
      <c r="BO48" s="48">
        <f t="shared" si="192"/>
        <v>0</v>
      </c>
      <c r="BP48" s="48">
        <f t="shared" si="193"/>
        <v>0</v>
      </c>
      <c r="BQ48" s="48">
        <f t="shared" si="194"/>
        <v>0</v>
      </c>
      <c r="BR48" s="48">
        <f t="shared" si="195"/>
        <v>0</v>
      </c>
      <c r="BS48" s="48">
        <f t="shared" si="196"/>
        <v>0</v>
      </c>
      <c r="BT48" s="48">
        <f t="shared" si="197"/>
        <v>0</v>
      </c>
      <c r="BU48" s="48">
        <f t="shared" si="198"/>
        <v>0</v>
      </c>
      <c r="BV48" s="48">
        <f t="shared" si="199"/>
        <v>0</v>
      </c>
      <c r="BW48" s="48">
        <f t="shared" si="200"/>
        <v>0</v>
      </c>
      <c r="BX48" s="48">
        <f t="shared" si="201"/>
        <v>0</v>
      </c>
      <c r="BY48" s="48">
        <f t="shared" si="202"/>
        <v>0</v>
      </c>
      <c r="BZ48" s="48">
        <f t="shared" si="203"/>
        <v>0</v>
      </c>
      <c r="CA48" s="48">
        <f t="shared" si="204"/>
        <v>0</v>
      </c>
      <c r="CB48" s="48">
        <f t="shared" si="205"/>
        <v>0</v>
      </c>
      <c r="CC48" s="48">
        <f t="shared" si="206"/>
        <v>0</v>
      </c>
      <c r="CD48" s="48">
        <f t="shared" si="207"/>
        <v>0</v>
      </c>
      <c r="CE48" s="48">
        <f t="shared" si="208"/>
        <v>0</v>
      </c>
      <c r="CF48" s="48">
        <f t="shared" si="209"/>
        <v>0</v>
      </c>
      <c r="CG48" s="48">
        <f t="shared" si="210"/>
        <v>0</v>
      </c>
      <c r="CH48" s="48">
        <f t="shared" si="211"/>
        <v>0</v>
      </c>
      <c r="CI48" s="48">
        <f t="shared" si="212"/>
        <v>0</v>
      </c>
      <c r="CJ48" s="48">
        <f t="shared" si="213"/>
        <v>0</v>
      </c>
      <c r="CK48" s="48">
        <f t="shared" si="214"/>
        <v>0</v>
      </c>
      <c r="CL48" s="48">
        <f t="shared" si="215"/>
        <v>0</v>
      </c>
      <c r="CM48" s="48">
        <f t="shared" si="216"/>
        <v>0</v>
      </c>
      <c r="CN48" s="48">
        <f t="shared" si="217"/>
        <v>0</v>
      </c>
      <c r="CO48" s="48">
        <f t="shared" si="218"/>
        <v>0</v>
      </c>
      <c r="CP48" s="48">
        <f t="shared" si="219"/>
        <v>0</v>
      </c>
      <c r="CQ48" s="48">
        <f t="shared" si="220"/>
        <v>0</v>
      </c>
      <c r="CR48" s="48">
        <f t="shared" si="221"/>
        <v>0</v>
      </c>
      <c r="CS48" s="48">
        <f t="shared" si="222"/>
        <v>0</v>
      </c>
      <c r="CT48" s="48">
        <f t="shared" si="223"/>
        <v>0</v>
      </c>
      <c r="CU48" s="48">
        <f t="shared" si="224"/>
        <v>0</v>
      </c>
      <c r="CV48" s="48">
        <f t="shared" si="225"/>
        <v>0</v>
      </c>
      <c r="CW48" s="48">
        <f t="shared" si="226"/>
        <v>0</v>
      </c>
      <c r="CX48" s="48">
        <f t="shared" si="227"/>
        <v>0</v>
      </c>
      <c r="CY48" s="48">
        <f t="shared" si="228"/>
        <v>0</v>
      </c>
      <c r="CZ48" s="48">
        <f t="shared" si="229"/>
        <v>0</v>
      </c>
      <c r="DA48" s="48">
        <f t="shared" si="230"/>
        <v>0</v>
      </c>
      <c r="DB48" s="48">
        <f t="shared" si="231"/>
        <v>0</v>
      </c>
      <c r="DC48" s="48">
        <f t="shared" si="232"/>
        <v>0</v>
      </c>
      <c r="DD48" s="48">
        <f t="shared" si="233"/>
        <v>0</v>
      </c>
      <c r="DE48" s="48">
        <f t="shared" si="234"/>
        <v>0</v>
      </c>
      <c r="DF48" s="48">
        <f t="shared" si="235"/>
        <v>0</v>
      </c>
      <c r="DG48" s="48">
        <f t="shared" si="236"/>
        <v>0</v>
      </c>
      <c r="DH48" s="48">
        <f t="shared" si="237"/>
        <v>0</v>
      </c>
      <c r="DI48" s="48">
        <f t="shared" si="238"/>
        <v>0</v>
      </c>
      <c r="DJ48" s="48">
        <f t="shared" si="239"/>
        <v>0</v>
      </c>
      <c r="DK48" s="48">
        <f t="shared" si="240"/>
        <v>0</v>
      </c>
      <c r="DL48" s="48">
        <f t="shared" si="241"/>
        <v>0</v>
      </c>
      <c r="DM48" s="48">
        <f t="shared" si="242"/>
        <v>0</v>
      </c>
      <c r="DN48" s="48">
        <f t="shared" si="243"/>
        <v>0</v>
      </c>
      <c r="DO48" s="48">
        <f t="shared" si="244"/>
        <v>0</v>
      </c>
      <c r="DP48" s="48">
        <f t="shared" si="245"/>
        <v>0</v>
      </c>
      <c r="DQ48" s="48">
        <f t="shared" si="246"/>
        <v>0</v>
      </c>
      <c r="DR48" s="48">
        <f t="shared" si="247"/>
        <v>0</v>
      </c>
      <c r="DS48" s="48">
        <f t="shared" si="248"/>
        <v>0</v>
      </c>
      <c r="DT48" s="48">
        <f t="shared" si="249"/>
        <v>0</v>
      </c>
      <c r="DU48" s="48">
        <f t="shared" si="250"/>
        <v>0</v>
      </c>
      <c r="DV48" s="48">
        <f t="shared" si="251"/>
        <v>0</v>
      </c>
      <c r="DW48" s="48">
        <f t="shared" si="252"/>
        <v>0</v>
      </c>
      <c r="DX48" s="48">
        <f t="shared" si="253"/>
        <v>0</v>
      </c>
      <c r="DY48" s="48">
        <f t="shared" si="254"/>
        <v>0</v>
      </c>
      <c r="DZ48" s="48">
        <f t="shared" si="255"/>
        <v>0</v>
      </c>
      <c r="EA48" s="48">
        <f t="shared" si="256"/>
        <v>0</v>
      </c>
      <c r="EB48" s="48">
        <f t="shared" si="257"/>
        <v>0</v>
      </c>
      <c r="EC48" s="48">
        <f t="shared" si="258"/>
        <v>0</v>
      </c>
      <c r="ED48" s="48">
        <f t="shared" si="259"/>
        <v>0</v>
      </c>
      <c r="EE48" s="48">
        <f t="shared" si="260"/>
        <v>0</v>
      </c>
      <c r="EF48" s="48">
        <f t="shared" si="261"/>
        <v>0</v>
      </c>
      <c r="EG48" s="48">
        <f t="shared" si="262"/>
        <v>0</v>
      </c>
      <c r="EH48" s="48">
        <f t="shared" si="263"/>
        <v>0</v>
      </c>
      <c r="EI48" s="48">
        <f t="shared" si="264"/>
        <v>0</v>
      </c>
      <c r="EJ48" s="48">
        <f t="shared" si="265"/>
        <v>0</v>
      </c>
      <c r="EK48" s="48">
        <f t="shared" si="266"/>
        <v>0</v>
      </c>
      <c r="EL48" s="48">
        <f t="shared" si="267"/>
        <v>0</v>
      </c>
      <c r="EM48" s="48">
        <f t="shared" si="268"/>
        <v>0</v>
      </c>
      <c r="EN48" s="48">
        <f t="shared" si="269"/>
        <v>0</v>
      </c>
      <c r="EO48" s="48">
        <f t="shared" si="270"/>
        <v>0</v>
      </c>
      <c r="EP48" s="48">
        <f t="shared" si="271"/>
        <v>0</v>
      </c>
      <c r="EQ48" s="48">
        <f t="shared" si="272"/>
        <v>0</v>
      </c>
      <c r="ER48" s="48">
        <f t="shared" si="273"/>
        <v>0</v>
      </c>
      <c r="ES48" s="48">
        <f t="shared" si="274"/>
        <v>0</v>
      </c>
      <c r="ET48" s="48">
        <f t="shared" si="275"/>
        <v>0</v>
      </c>
      <c r="EU48" s="48">
        <f t="shared" si="276"/>
        <v>0</v>
      </c>
      <c r="EV48" s="48">
        <f t="shared" si="277"/>
        <v>0</v>
      </c>
      <c r="EW48" s="48">
        <f t="shared" si="278"/>
        <v>0</v>
      </c>
      <c r="EX48" s="48">
        <f t="shared" si="279"/>
        <v>0</v>
      </c>
      <c r="EY48" s="48">
        <f t="shared" si="280"/>
        <v>0</v>
      </c>
      <c r="EZ48" s="48">
        <f t="shared" si="281"/>
        <v>0</v>
      </c>
      <c r="FA48" s="48">
        <f t="shared" si="282"/>
        <v>0</v>
      </c>
      <c r="FB48" s="48">
        <f t="shared" si="283"/>
        <v>0</v>
      </c>
      <c r="FC48" s="48">
        <f t="shared" si="284"/>
        <v>0</v>
      </c>
      <c r="FD48" s="48">
        <f t="shared" si="285"/>
        <v>0</v>
      </c>
      <c r="FE48" s="48">
        <f t="shared" si="286"/>
        <v>0</v>
      </c>
      <c r="FF48" s="48">
        <f t="shared" si="287"/>
        <v>0</v>
      </c>
      <c r="FG48" s="48">
        <f t="shared" si="288"/>
        <v>0</v>
      </c>
      <c r="FH48" s="48">
        <f t="shared" si="289"/>
        <v>0</v>
      </c>
      <c r="FI48" s="48">
        <f t="shared" si="290"/>
        <v>0</v>
      </c>
      <c r="FJ48" s="48">
        <f t="shared" si="291"/>
        <v>0</v>
      </c>
      <c r="FK48" s="48">
        <f t="shared" si="292"/>
        <v>0</v>
      </c>
      <c r="FL48" s="48">
        <f t="shared" si="293"/>
        <v>0</v>
      </c>
      <c r="FM48" s="48">
        <f t="shared" si="294"/>
        <v>0</v>
      </c>
      <c r="FN48" s="48">
        <f t="shared" si="295"/>
        <v>0</v>
      </c>
      <c r="FO48" s="48">
        <f t="shared" si="296"/>
        <v>0</v>
      </c>
      <c r="FP48" s="48">
        <f t="shared" si="297"/>
        <v>0</v>
      </c>
      <c r="FQ48" s="48">
        <f t="shared" si="298"/>
        <v>0</v>
      </c>
      <c r="FR48" s="48">
        <f t="shared" si="299"/>
        <v>0</v>
      </c>
      <c r="FS48" s="48">
        <f t="shared" si="300"/>
        <v>0</v>
      </c>
      <c r="FT48" s="48">
        <f t="shared" si="301"/>
        <v>0</v>
      </c>
      <c r="FU48" s="48">
        <f t="shared" si="302"/>
        <v>0</v>
      </c>
      <c r="FV48" s="48">
        <f t="shared" si="303"/>
        <v>0</v>
      </c>
      <c r="FW48" s="48">
        <f t="shared" si="304"/>
        <v>0</v>
      </c>
      <c r="FX48" s="48">
        <f t="shared" si="305"/>
        <v>0</v>
      </c>
      <c r="FY48" s="48">
        <f t="shared" si="306"/>
        <v>0</v>
      </c>
      <c r="FZ48" s="48">
        <f t="shared" si="307"/>
        <v>0</v>
      </c>
      <c r="GA48" s="48">
        <f t="shared" si="308"/>
        <v>0</v>
      </c>
      <c r="GB48" s="48">
        <f t="shared" si="309"/>
        <v>0</v>
      </c>
      <c r="GC48" s="48">
        <f t="shared" si="310"/>
        <v>0</v>
      </c>
      <c r="GG48">
        <f t="shared" si="311"/>
        <v>0</v>
      </c>
    </row>
    <row r="49" spans="1:189" x14ac:dyDescent="0.25">
      <c r="A49" s="690"/>
      <c r="B49" s="690"/>
      <c r="C49" s="690"/>
      <c r="D49" s="690"/>
      <c r="E49" s="690"/>
      <c r="F49" s="690"/>
      <c r="G49" s="889"/>
      <c r="H49" s="690"/>
      <c r="I49" s="690"/>
      <c r="J49" s="690"/>
      <c r="K49" s="690"/>
      <c r="L49" s="690"/>
      <c r="M49" s="690"/>
      <c r="N49" s="507" t="str">
        <f t="shared" si="159"/>
        <v/>
      </c>
      <c r="O49" s="690"/>
      <c r="P49" s="507" t="str">
        <f t="shared" si="158"/>
        <v/>
      </c>
      <c r="Q49" s="690"/>
      <c r="R49" s="690"/>
      <c r="S49" s="690"/>
      <c r="T49" s="690"/>
      <c r="U49">
        <f t="shared" si="312"/>
        <v>0</v>
      </c>
      <c r="V49">
        <f t="shared" si="313"/>
        <v>0</v>
      </c>
      <c r="X49">
        <f t="shared" si="314"/>
        <v>0</v>
      </c>
      <c r="Y49">
        <f t="shared" si="315"/>
        <v>0</v>
      </c>
      <c r="Z49">
        <f t="shared" si="316"/>
        <v>0</v>
      </c>
      <c r="AA49">
        <f t="shared" si="317"/>
        <v>0</v>
      </c>
      <c r="AB49" s="25"/>
      <c r="AC49" s="25"/>
      <c r="AD49" s="25"/>
      <c r="AF49" s="48" t="s">
        <v>704</v>
      </c>
      <c r="AG49" s="689"/>
      <c r="AH49" s="689"/>
      <c r="AI49" s="48">
        <f t="shared" si="160"/>
        <v>0</v>
      </c>
      <c r="AJ49" s="48">
        <f t="shared" si="161"/>
        <v>0</v>
      </c>
      <c r="AK49" s="48">
        <f t="shared" si="162"/>
        <v>0</v>
      </c>
      <c r="AL49" s="48">
        <f t="shared" si="163"/>
        <v>0</v>
      </c>
      <c r="AM49" s="48">
        <f t="shared" si="164"/>
        <v>0</v>
      </c>
      <c r="AN49" s="48">
        <f t="shared" si="165"/>
        <v>0</v>
      </c>
      <c r="AO49" s="48">
        <f t="shared" si="166"/>
        <v>0</v>
      </c>
      <c r="AP49" s="48">
        <f t="shared" si="167"/>
        <v>0</v>
      </c>
      <c r="AQ49" s="48">
        <f t="shared" si="168"/>
        <v>0</v>
      </c>
      <c r="AR49" s="48">
        <f t="shared" si="169"/>
        <v>0</v>
      </c>
      <c r="AS49" s="48">
        <f t="shared" si="170"/>
        <v>0</v>
      </c>
      <c r="AT49" s="48">
        <f t="shared" si="171"/>
        <v>0</v>
      </c>
      <c r="AU49" s="48">
        <f t="shared" si="172"/>
        <v>0</v>
      </c>
      <c r="AV49" s="48">
        <f t="shared" si="173"/>
        <v>0</v>
      </c>
      <c r="AW49" s="48">
        <f t="shared" si="174"/>
        <v>0</v>
      </c>
      <c r="AX49" s="48">
        <f t="shared" si="175"/>
        <v>0</v>
      </c>
      <c r="AY49" s="48">
        <f t="shared" si="176"/>
        <v>0</v>
      </c>
      <c r="AZ49" s="48">
        <f t="shared" si="177"/>
        <v>0</v>
      </c>
      <c r="BA49" s="48">
        <f t="shared" si="178"/>
        <v>0</v>
      </c>
      <c r="BB49" s="48">
        <f t="shared" si="179"/>
        <v>0</v>
      </c>
      <c r="BC49" s="48">
        <f t="shared" si="180"/>
        <v>0</v>
      </c>
      <c r="BD49" s="48">
        <f t="shared" si="181"/>
        <v>0</v>
      </c>
      <c r="BE49" s="48">
        <f t="shared" si="182"/>
        <v>0</v>
      </c>
      <c r="BF49" s="48">
        <f t="shared" si="183"/>
        <v>0</v>
      </c>
      <c r="BG49" s="48">
        <f t="shared" si="184"/>
        <v>0</v>
      </c>
      <c r="BH49" s="48">
        <f t="shared" si="185"/>
        <v>0</v>
      </c>
      <c r="BI49" s="48">
        <f t="shared" si="186"/>
        <v>0</v>
      </c>
      <c r="BJ49" s="48">
        <f t="shared" si="187"/>
        <v>0</v>
      </c>
      <c r="BK49" s="48">
        <f t="shared" si="188"/>
        <v>0</v>
      </c>
      <c r="BL49" s="48">
        <f t="shared" si="189"/>
        <v>0</v>
      </c>
      <c r="BM49" s="48">
        <f t="shared" si="190"/>
        <v>0</v>
      </c>
      <c r="BN49" s="48">
        <f t="shared" si="191"/>
        <v>0</v>
      </c>
      <c r="BO49" s="48">
        <f t="shared" si="192"/>
        <v>0</v>
      </c>
      <c r="BP49" s="48">
        <f t="shared" si="193"/>
        <v>0</v>
      </c>
      <c r="BQ49" s="48">
        <f t="shared" si="194"/>
        <v>0</v>
      </c>
      <c r="BR49" s="48">
        <f t="shared" si="195"/>
        <v>0</v>
      </c>
      <c r="BS49" s="48">
        <f t="shared" si="196"/>
        <v>0</v>
      </c>
      <c r="BT49" s="48">
        <f t="shared" si="197"/>
        <v>0</v>
      </c>
      <c r="BU49" s="48">
        <f t="shared" si="198"/>
        <v>0</v>
      </c>
      <c r="BV49" s="48">
        <f t="shared" si="199"/>
        <v>0</v>
      </c>
      <c r="BW49" s="48">
        <f t="shared" si="200"/>
        <v>0</v>
      </c>
      <c r="BX49" s="48">
        <f t="shared" si="201"/>
        <v>0</v>
      </c>
      <c r="BY49" s="48">
        <f t="shared" si="202"/>
        <v>0</v>
      </c>
      <c r="BZ49" s="48">
        <f t="shared" si="203"/>
        <v>0</v>
      </c>
      <c r="CA49" s="48">
        <f t="shared" si="204"/>
        <v>0</v>
      </c>
      <c r="CB49" s="48">
        <f t="shared" si="205"/>
        <v>0</v>
      </c>
      <c r="CC49" s="48">
        <f t="shared" si="206"/>
        <v>0</v>
      </c>
      <c r="CD49" s="48">
        <f t="shared" si="207"/>
        <v>0</v>
      </c>
      <c r="CE49" s="48">
        <f t="shared" si="208"/>
        <v>0</v>
      </c>
      <c r="CF49" s="48">
        <f t="shared" si="209"/>
        <v>0</v>
      </c>
      <c r="CG49" s="48">
        <f t="shared" si="210"/>
        <v>0</v>
      </c>
      <c r="CH49" s="48">
        <f t="shared" si="211"/>
        <v>0</v>
      </c>
      <c r="CI49" s="48">
        <f t="shared" si="212"/>
        <v>0</v>
      </c>
      <c r="CJ49" s="48">
        <f t="shared" si="213"/>
        <v>0</v>
      </c>
      <c r="CK49" s="48">
        <f t="shared" si="214"/>
        <v>0</v>
      </c>
      <c r="CL49" s="48">
        <f t="shared" si="215"/>
        <v>0</v>
      </c>
      <c r="CM49" s="48">
        <f t="shared" si="216"/>
        <v>0</v>
      </c>
      <c r="CN49" s="48">
        <f t="shared" si="217"/>
        <v>0</v>
      </c>
      <c r="CO49" s="48">
        <f t="shared" si="218"/>
        <v>0</v>
      </c>
      <c r="CP49" s="48">
        <f t="shared" si="219"/>
        <v>0</v>
      </c>
      <c r="CQ49" s="48">
        <f t="shared" si="220"/>
        <v>0</v>
      </c>
      <c r="CR49" s="48">
        <f t="shared" si="221"/>
        <v>0</v>
      </c>
      <c r="CS49" s="48">
        <f t="shared" si="222"/>
        <v>0</v>
      </c>
      <c r="CT49" s="48">
        <f t="shared" si="223"/>
        <v>0</v>
      </c>
      <c r="CU49" s="48">
        <f t="shared" si="224"/>
        <v>0</v>
      </c>
      <c r="CV49" s="48">
        <f t="shared" si="225"/>
        <v>0</v>
      </c>
      <c r="CW49" s="48">
        <f t="shared" si="226"/>
        <v>0</v>
      </c>
      <c r="CX49" s="48">
        <f t="shared" si="227"/>
        <v>0</v>
      </c>
      <c r="CY49" s="48">
        <f t="shared" si="228"/>
        <v>0</v>
      </c>
      <c r="CZ49" s="48">
        <f t="shared" si="229"/>
        <v>0</v>
      </c>
      <c r="DA49" s="48">
        <f t="shared" si="230"/>
        <v>0</v>
      </c>
      <c r="DB49" s="48">
        <f t="shared" si="231"/>
        <v>0</v>
      </c>
      <c r="DC49" s="48">
        <f t="shared" si="232"/>
        <v>0</v>
      </c>
      <c r="DD49" s="48">
        <f t="shared" si="233"/>
        <v>0</v>
      </c>
      <c r="DE49" s="48">
        <f t="shared" si="234"/>
        <v>0</v>
      </c>
      <c r="DF49" s="48">
        <f t="shared" si="235"/>
        <v>0</v>
      </c>
      <c r="DG49" s="48">
        <f t="shared" si="236"/>
        <v>0</v>
      </c>
      <c r="DH49" s="48">
        <f t="shared" si="237"/>
        <v>0</v>
      </c>
      <c r="DI49" s="48">
        <f t="shared" si="238"/>
        <v>0</v>
      </c>
      <c r="DJ49" s="48">
        <f t="shared" si="239"/>
        <v>0</v>
      </c>
      <c r="DK49" s="48">
        <f t="shared" si="240"/>
        <v>0</v>
      </c>
      <c r="DL49" s="48">
        <f t="shared" si="241"/>
        <v>0</v>
      </c>
      <c r="DM49" s="48">
        <f t="shared" si="242"/>
        <v>0</v>
      </c>
      <c r="DN49" s="48">
        <f t="shared" si="243"/>
        <v>0</v>
      </c>
      <c r="DO49" s="48">
        <f t="shared" si="244"/>
        <v>0</v>
      </c>
      <c r="DP49" s="48">
        <f t="shared" si="245"/>
        <v>0</v>
      </c>
      <c r="DQ49" s="48">
        <f t="shared" si="246"/>
        <v>0</v>
      </c>
      <c r="DR49" s="48">
        <f t="shared" si="247"/>
        <v>0</v>
      </c>
      <c r="DS49" s="48">
        <f t="shared" si="248"/>
        <v>0</v>
      </c>
      <c r="DT49" s="48">
        <f t="shared" si="249"/>
        <v>0</v>
      </c>
      <c r="DU49" s="48">
        <f t="shared" si="250"/>
        <v>0</v>
      </c>
      <c r="DV49" s="48">
        <f t="shared" si="251"/>
        <v>0</v>
      </c>
      <c r="DW49" s="48">
        <f t="shared" si="252"/>
        <v>0</v>
      </c>
      <c r="DX49" s="48">
        <f t="shared" si="253"/>
        <v>0</v>
      </c>
      <c r="DY49" s="48">
        <f t="shared" si="254"/>
        <v>0</v>
      </c>
      <c r="DZ49" s="48">
        <f t="shared" si="255"/>
        <v>0</v>
      </c>
      <c r="EA49" s="48">
        <f t="shared" si="256"/>
        <v>0</v>
      </c>
      <c r="EB49" s="48">
        <f t="shared" si="257"/>
        <v>0</v>
      </c>
      <c r="EC49" s="48">
        <f t="shared" si="258"/>
        <v>0</v>
      </c>
      <c r="ED49" s="48">
        <f t="shared" si="259"/>
        <v>0</v>
      </c>
      <c r="EE49" s="48">
        <f t="shared" si="260"/>
        <v>0</v>
      </c>
      <c r="EF49" s="48">
        <f t="shared" si="261"/>
        <v>0</v>
      </c>
      <c r="EG49" s="48">
        <f t="shared" si="262"/>
        <v>0</v>
      </c>
      <c r="EH49" s="48">
        <f t="shared" si="263"/>
        <v>0</v>
      </c>
      <c r="EI49" s="48">
        <f t="shared" si="264"/>
        <v>0</v>
      </c>
      <c r="EJ49" s="48">
        <f t="shared" si="265"/>
        <v>0</v>
      </c>
      <c r="EK49" s="48">
        <f t="shared" si="266"/>
        <v>0</v>
      </c>
      <c r="EL49" s="48">
        <f t="shared" si="267"/>
        <v>0</v>
      </c>
      <c r="EM49" s="48">
        <f t="shared" si="268"/>
        <v>0</v>
      </c>
      <c r="EN49" s="48">
        <f t="shared" si="269"/>
        <v>0</v>
      </c>
      <c r="EO49" s="48">
        <f t="shared" si="270"/>
        <v>0</v>
      </c>
      <c r="EP49" s="48">
        <f t="shared" si="271"/>
        <v>0</v>
      </c>
      <c r="EQ49" s="48">
        <f t="shared" si="272"/>
        <v>0</v>
      </c>
      <c r="ER49" s="48">
        <f t="shared" si="273"/>
        <v>0</v>
      </c>
      <c r="ES49" s="48">
        <f t="shared" si="274"/>
        <v>0</v>
      </c>
      <c r="ET49" s="48">
        <f t="shared" si="275"/>
        <v>0</v>
      </c>
      <c r="EU49" s="48">
        <f t="shared" si="276"/>
        <v>0</v>
      </c>
      <c r="EV49" s="48">
        <f t="shared" si="277"/>
        <v>0</v>
      </c>
      <c r="EW49" s="48">
        <f t="shared" si="278"/>
        <v>0</v>
      </c>
      <c r="EX49" s="48">
        <f t="shared" si="279"/>
        <v>0</v>
      </c>
      <c r="EY49" s="48">
        <f t="shared" si="280"/>
        <v>0</v>
      </c>
      <c r="EZ49" s="48">
        <f t="shared" si="281"/>
        <v>0</v>
      </c>
      <c r="FA49" s="48">
        <f t="shared" si="282"/>
        <v>0</v>
      </c>
      <c r="FB49" s="48">
        <f t="shared" si="283"/>
        <v>0</v>
      </c>
      <c r="FC49" s="48">
        <f t="shared" si="284"/>
        <v>0</v>
      </c>
      <c r="FD49" s="48">
        <f t="shared" si="285"/>
        <v>0</v>
      </c>
      <c r="FE49" s="48">
        <f t="shared" si="286"/>
        <v>0</v>
      </c>
      <c r="FF49" s="48">
        <f t="shared" si="287"/>
        <v>0</v>
      </c>
      <c r="FG49" s="48">
        <f t="shared" si="288"/>
        <v>0</v>
      </c>
      <c r="FH49" s="48">
        <f t="shared" si="289"/>
        <v>0</v>
      </c>
      <c r="FI49" s="48">
        <f t="shared" si="290"/>
        <v>0</v>
      </c>
      <c r="FJ49" s="48">
        <f t="shared" si="291"/>
        <v>0</v>
      </c>
      <c r="FK49" s="48">
        <f t="shared" si="292"/>
        <v>0</v>
      </c>
      <c r="FL49" s="48">
        <f t="shared" si="293"/>
        <v>0</v>
      </c>
      <c r="FM49" s="48">
        <f t="shared" si="294"/>
        <v>0</v>
      </c>
      <c r="FN49" s="48">
        <f t="shared" si="295"/>
        <v>0</v>
      </c>
      <c r="FO49" s="48">
        <f t="shared" si="296"/>
        <v>0</v>
      </c>
      <c r="FP49" s="48">
        <f t="shared" si="297"/>
        <v>0</v>
      </c>
      <c r="FQ49" s="48">
        <f t="shared" si="298"/>
        <v>0</v>
      </c>
      <c r="FR49" s="48">
        <f t="shared" si="299"/>
        <v>0</v>
      </c>
      <c r="FS49" s="48">
        <f t="shared" si="300"/>
        <v>0</v>
      </c>
      <c r="FT49" s="48">
        <f t="shared" si="301"/>
        <v>0</v>
      </c>
      <c r="FU49" s="48">
        <f t="shared" si="302"/>
        <v>0</v>
      </c>
      <c r="FV49" s="48">
        <f t="shared" si="303"/>
        <v>0</v>
      </c>
      <c r="FW49" s="48">
        <f t="shared" si="304"/>
        <v>0</v>
      </c>
      <c r="FX49" s="48">
        <f t="shared" si="305"/>
        <v>0</v>
      </c>
      <c r="FY49" s="48">
        <f t="shared" si="306"/>
        <v>0</v>
      </c>
      <c r="FZ49" s="48">
        <f t="shared" si="307"/>
        <v>0</v>
      </c>
      <c r="GA49" s="48">
        <f t="shared" si="308"/>
        <v>0</v>
      </c>
      <c r="GB49" s="48">
        <f t="shared" si="309"/>
        <v>0</v>
      </c>
      <c r="GC49" s="48">
        <f t="shared" si="310"/>
        <v>0</v>
      </c>
      <c r="GG49">
        <f t="shared" si="311"/>
        <v>0</v>
      </c>
    </row>
    <row r="50" spans="1:189" x14ac:dyDescent="0.25">
      <c r="A50" s="690"/>
      <c r="B50" s="690"/>
      <c r="C50" s="690"/>
      <c r="D50" s="690"/>
      <c r="E50" s="690"/>
      <c r="F50" s="690"/>
      <c r="G50" s="889"/>
      <c r="H50" s="690"/>
      <c r="I50" s="690"/>
      <c r="J50" s="690"/>
      <c r="K50" s="690"/>
      <c r="L50" s="690"/>
      <c r="M50" s="690"/>
      <c r="N50" s="507" t="str">
        <f t="shared" si="159"/>
        <v/>
      </c>
      <c r="O50" s="690"/>
      <c r="P50" s="507" t="str">
        <f t="shared" si="158"/>
        <v/>
      </c>
      <c r="Q50" s="690"/>
      <c r="R50" s="690"/>
      <c r="S50" s="690"/>
      <c r="T50" s="690"/>
      <c r="U50">
        <f t="shared" si="312"/>
        <v>0</v>
      </c>
      <c r="V50">
        <f t="shared" si="313"/>
        <v>0</v>
      </c>
      <c r="X50">
        <f t="shared" si="314"/>
        <v>0</v>
      </c>
      <c r="Y50">
        <f t="shared" si="315"/>
        <v>0</v>
      </c>
      <c r="Z50">
        <f t="shared" si="316"/>
        <v>0</v>
      </c>
      <c r="AA50">
        <f t="shared" si="317"/>
        <v>0</v>
      </c>
      <c r="AB50" s="25"/>
      <c r="AC50" s="25"/>
      <c r="AD50" s="25"/>
      <c r="AF50" s="48" t="s">
        <v>705</v>
      </c>
      <c r="AG50" s="689"/>
      <c r="AH50" s="689"/>
      <c r="AI50" s="48">
        <f t="shared" si="160"/>
        <v>0</v>
      </c>
      <c r="AJ50" s="48">
        <f t="shared" si="161"/>
        <v>0</v>
      </c>
      <c r="AK50" s="48">
        <f t="shared" si="162"/>
        <v>0</v>
      </c>
      <c r="AL50" s="48">
        <f t="shared" si="163"/>
        <v>0</v>
      </c>
      <c r="AM50" s="48">
        <f t="shared" si="164"/>
        <v>0</v>
      </c>
      <c r="AN50" s="48">
        <f t="shared" si="165"/>
        <v>0</v>
      </c>
      <c r="AO50" s="48">
        <f t="shared" si="166"/>
        <v>0</v>
      </c>
      <c r="AP50" s="48">
        <f t="shared" si="167"/>
        <v>0</v>
      </c>
      <c r="AQ50" s="48">
        <f t="shared" si="168"/>
        <v>0</v>
      </c>
      <c r="AR50" s="48">
        <f t="shared" si="169"/>
        <v>0</v>
      </c>
      <c r="AS50" s="48">
        <f t="shared" si="170"/>
        <v>0</v>
      </c>
      <c r="AT50" s="48">
        <f t="shared" si="171"/>
        <v>0</v>
      </c>
      <c r="AU50" s="48">
        <f t="shared" si="172"/>
        <v>0</v>
      </c>
      <c r="AV50" s="48">
        <f t="shared" si="173"/>
        <v>0</v>
      </c>
      <c r="AW50" s="48">
        <f t="shared" si="174"/>
        <v>0</v>
      </c>
      <c r="AX50" s="48">
        <f t="shared" si="175"/>
        <v>0</v>
      </c>
      <c r="AY50" s="48">
        <f t="shared" si="176"/>
        <v>0</v>
      </c>
      <c r="AZ50" s="48">
        <f t="shared" si="177"/>
        <v>0</v>
      </c>
      <c r="BA50" s="48">
        <f t="shared" si="178"/>
        <v>0</v>
      </c>
      <c r="BB50" s="48">
        <f t="shared" si="179"/>
        <v>0</v>
      </c>
      <c r="BC50" s="48">
        <f t="shared" si="180"/>
        <v>0</v>
      </c>
      <c r="BD50" s="48">
        <f t="shared" si="181"/>
        <v>0</v>
      </c>
      <c r="BE50" s="48">
        <f t="shared" si="182"/>
        <v>0</v>
      </c>
      <c r="BF50" s="48">
        <f t="shared" si="183"/>
        <v>0</v>
      </c>
      <c r="BG50" s="48">
        <f t="shared" si="184"/>
        <v>0</v>
      </c>
      <c r="BH50" s="48">
        <f t="shared" si="185"/>
        <v>0</v>
      </c>
      <c r="BI50" s="48">
        <f t="shared" si="186"/>
        <v>0</v>
      </c>
      <c r="BJ50" s="48">
        <f t="shared" si="187"/>
        <v>0</v>
      </c>
      <c r="BK50" s="48">
        <f t="shared" si="188"/>
        <v>0</v>
      </c>
      <c r="BL50" s="48">
        <f t="shared" si="189"/>
        <v>0</v>
      </c>
      <c r="BM50" s="48">
        <f t="shared" si="190"/>
        <v>0</v>
      </c>
      <c r="BN50" s="48">
        <f t="shared" si="191"/>
        <v>0</v>
      </c>
      <c r="BO50" s="48">
        <f t="shared" si="192"/>
        <v>0</v>
      </c>
      <c r="BP50" s="48">
        <f t="shared" si="193"/>
        <v>0</v>
      </c>
      <c r="BQ50" s="48">
        <f t="shared" si="194"/>
        <v>0</v>
      </c>
      <c r="BR50" s="48">
        <f t="shared" si="195"/>
        <v>0</v>
      </c>
      <c r="BS50" s="48">
        <f t="shared" si="196"/>
        <v>0</v>
      </c>
      <c r="BT50" s="48">
        <f t="shared" si="197"/>
        <v>0</v>
      </c>
      <c r="BU50" s="48">
        <f t="shared" si="198"/>
        <v>0</v>
      </c>
      <c r="BV50" s="48">
        <f t="shared" si="199"/>
        <v>0</v>
      </c>
      <c r="BW50" s="48">
        <f t="shared" si="200"/>
        <v>0</v>
      </c>
      <c r="BX50" s="48">
        <f t="shared" si="201"/>
        <v>0</v>
      </c>
      <c r="BY50" s="48">
        <f t="shared" si="202"/>
        <v>0</v>
      </c>
      <c r="BZ50" s="48">
        <f t="shared" si="203"/>
        <v>0</v>
      </c>
      <c r="CA50" s="48">
        <f t="shared" si="204"/>
        <v>0</v>
      </c>
      <c r="CB50" s="48">
        <f t="shared" si="205"/>
        <v>0</v>
      </c>
      <c r="CC50" s="48">
        <f t="shared" si="206"/>
        <v>0</v>
      </c>
      <c r="CD50" s="48">
        <f t="shared" si="207"/>
        <v>0</v>
      </c>
      <c r="CE50" s="48">
        <f t="shared" si="208"/>
        <v>0</v>
      </c>
      <c r="CF50" s="48">
        <f t="shared" si="209"/>
        <v>0</v>
      </c>
      <c r="CG50" s="48">
        <f t="shared" si="210"/>
        <v>0</v>
      </c>
      <c r="CH50" s="48">
        <f t="shared" si="211"/>
        <v>0</v>
      </c>
      <c r="CI50" s="48">
        <f t="shared" si="212"/>
        <v>0</v>
      </c>
      <c r="CJ50" s="48">
        <f t="shared" si="213"/>
        <v>0</v>
      </c>
      <c r="CK50" s="48">
        <f t="shared" si="214"/>
        <v>0</v>
      </c>
      <c r="CL50" s="48">
        <f t="shared" si="215"/>
        <v>0</v>
      </c>
      <c r="CM50" s="48">
        <f t="shared" si="216"/>
        <v>0</v>
      </c>
      <c r="CN50" s="48">
        <f t="shared" si="217"/>
        <v>0</v>
      </c>
      <c r="CO50" s="48">
        <f t="shared" si="218"/>
        <v>0</v>
      </c>
      <c r="CP50" s="48">
        <f t="shared" si="219"/>
        <v>0</v>
      </c>
      <c r="CQ50" s="48">
        <f t="shared" si="220"/>
        <v>0</v>
      </c>
      <c r="CR50" s="48">
        <f t="shared" si="221"/>
        <v>0</v>
      </c>
      <c r="CS50" s="48">
        <f t="shared" si="222"/>
        <v>0</v>
      </c>
      <c r="CT50" s="48">
        <f t="shared" si="223"/>
        <v>0</v>
      </c>
      <c r="CU50" s="48">
        <f t="shared" si="224"/>
        <v>0</v>
      </c>
      <c r="CV50" s="48">
        <f t="shared" si="225"/>
        <v>0</v>
      </c>
      <c r="CW50" s="48">
        <f t="shared" si="226"/>
        <v>0</v>
      </c>
      <c r="CX50" s="48">
        <f t="shared" si="227"/>
        <v>0</v>
      </c>
      <c r="CY50" s="48">
        <f t="shared" si="228"/>
        <v>0</v>
      </c>
      <c r="CZ50" s="48">
        <f t="shared" si="229"/>
        <v>0</v>
      </c>
      <c r="DA50" s="48">
        <f t="shared" si="230"/>
        <v>0</v>
      </c>
      <c r="DB50" s="48">
        <f t="shared" si="231"/>
        <v>0</v>
      </c>
      <c r="DC50" s="48">
        <f t="shared" si="232"/>
        <v>0</v>
      </c>
      <c r="DD50" s="48">
        <f t="shared" si="233"/>
        <v>0</v>
      </c>
      <c r="DE50" s="48">
        <f t="shared" si="234"/>
        <v>0</v>
      </c>
      <c r="DF50" s="48">
        <f t="shared" si="235"/>
        <v>0</v>
      </c>
      <c r="DG50" s="48">
        <f t="shared" si="236"/>
        <v>0</v>
      </c>
      <c r="DH50" s="48">
        <f t="shared" si="237"/>
        <v>0</v>
      </c>
      <c r="DI50" s="48">
        <f t="shared" si="238"/>
        <v>0</v>
      </c>
      <c r="DJ50" s="48">
        <f t="shared" si="239"/>
        <v>0</v>
      </c>
      <c r="DK50" s="48">
        <f t="shared" si="240"/>
        <v>0</v>
      </c>
      <c r="DL50" s="48">
        <f t="shared" si="241"/>
        <v>0</v>
      </c>
      <c r="DM50" s="48">
        <f t="shared" si="242"/>
        <v>0</v>
      </c>
      <c r="DN50" s="48">
        <f t="shared" si="243"/>
        <v>0</v>
      </c>
      <c r="DO50" s="48">
        <f t="shared" si="244"/>
        <v>0</v>
      </c>
      <c r="DP50" s="48">
        <f t="shared" si="245"/>
        <v>0</v>
      </c>
      <c r="DQ50" s="48">
        <f t="shared" si="246"/>
        <v>0</v>
      </c>
      <c r="DR50" s="48">
        <f t="shared" si="247"/>
        <v>0</v>
      </c>
      <c r="DS50" s="48">
        <f t="shared" si="248"/>
        <v>0</v>
      </c>
      <c r="DT50" s="48">
        <f t="shared" si="249"/>
        <v>0</v>
      </c>
      <c r="DU50" s="48">
        <f t="shared" si="250"/>
        <v>0</v>
      </c>
      <c r="DV50" s="48">
        <f t="shared" si="251"/>
        <v>0</v>
      </c>
      <c r="DW50" s="48">
        <f t="shared" si="252"/>
        <v>0</v>
      </c>
      <c r="DX50" s="48">
        <f t="shared" si="253"/>
        <v>0</v>
      </c>
      <c r="DY50" s="48">
        <f t="shared" si="254"/>
        <v>0</v>
      </c>
      <c r="DZ50" s="48">
        <f t="shared" si="255"/>
        <v>0</v>
      </c>
      <c r="EA50" s="48">
        <f t="shared" si="256"/>
        <v>0</v>
      </c>
      <c r="EB50" s="48">
        <f t="shared" si="257"/>
        <v>0</v>
      </c>
      <c r="EC50" s="48">
        <f t="shared" si="258"/>
        <v>0</v>
      </c>
      <c r="ED50" s="48">
        <f t="shared" si="259"/>
        <v>0</v>
      </c>
      <c r="EE50" s="48">
        <f t="shared" si="260"/>
        <v>0</v>
      </c>
      <c r="EF50" s="48">
        <f t="shared" si="261"/>
        <v>0</v>
      </c>
      <c r="EG50" s="48">
        <f t="shared" si="262"/>
        <v>0</v>
      </c>
      <c r="EH50" s="48">
        <f t="shared" si="263"/>
        <v>0</v>
      </c>
      <c r="EI50" s="48">
        <f t="shared" si="264"/>
        <v>0</v>
      </c>
      <c r="EJ50" s="48">
        <f t="shared" si="265"/>
        <v>0</v>
      </c>
      <c r="EK50" s="48">
        <f t="shared" si="266"/>
        <v>0</v>
      </c>
      <c r="EL50" s="48">
        <f t="shared" si="267"/>
        <v>0</v>
      </c>
      <c r="EM50" s="48">
        <f t="shared" si="268"/>
        <v>0</v>
      </c>
      <c r="EN50" s="48">
        <f t="shared" si="269"/>
        <v>0</v>
      </c>
      <c r="EO50" s="48">
        <f t="shared" si="270"/>
        <v>0</v>
      </c>
      <c r="EP50" s="48">
        <f t="shared" si="271"/>
        <v>0</v>
      </c>
      <c r="EQ50" s="48">
        <f t="shared" si="272"/>
        <v>0</v>
      </c>
      <c r="ER50" s="48">
        <f t="shared" si="273"/>
        <v>0</v>
      </c>
      <c r="ES50" s="48">
        <f t="shared" si="274"/>
        <v>0</v>
      </c>
      <c r="ET50" s="48">
        <f t="shared" si="275"/>
        <v>0</v>
      </c>
      <c r="EU50" s="48">
        <f t="shared" si="276"/>
        <v>0</v>
      </c>
      <c r="EV50" s="48">
        <f t="shared" si="277"/>
        <v>0</v>
      </c>
      <c r="EW50" s="48">
        <f t="shared" si="278"/>
        <v>0</v>
      </c>
      <c r="EX50" s="48">
        <f t="shared" si="279"/>
        <v>0</v>
      </c>
      <c r="EY50" s="48">
        <f t="shared" si="280"/>
        <v>0</v>
      </c>
      <c r="EZ50" s="48">
        <f t="shared" si="281"/>
        <v>0</v>
      </c>
      <c r="FA50" s="48">
        <f t="shared" si="282"/>
        <v>0</v>
      </c>
      <c r="FB50" s="48">
        <f t="shared" si="283"/>
        <v>0</v>
      </c>
      <c r="FC50" s="48">
        <f t="shared" si="284"/>
        <v>0</v>
      </c>
      <c r="FD50" s="48">
        <f t="shared" si="285"/>
        <v>0</v>
      </c>
      <c r="FE50" s="48">
        <f t="shared" si="286"/>
        <v>0</v>
      </c>
      <c r="FF50" s="48">
        <f t="shared" si="287"/>
        <v>0</v>
      </c>
      <c r="FG50" s="48">
        <f t="shared" si="288"/>
        <v>0</v>
      </c>
      <c r="FH50" s="48">
        <f t="shared" si="289"/>
        <v>0</v>
      </c>
      <c r="FI50" s="48">
        <f t="shared" si="290"/>
        <v>0</v>
      </c>
      <c r="FJ50" s="48">
        <f t="shared" si="291"/>
        <v>0</v>
      </c>
      <c r="FK50" s="48">
        <f t="shared" si="292"/>
        <v>0</v>
      </c>
      <c r="FL50" s="48">
        <f t="shared" si="293"/>
        <v>0</v>
      </c>
      <c r="FM50" s="48">
        <f t="shared" si="294"/>
        <v>0</v>
      </c>
      <c r="FN50" s="48">
        <f t="shared" si="295"/>
        <v>0</v>
      </c>
      <c r="FO50" s="48">
        <f t="shared" si="296"/>
        <v>0</v>
      </c>
      <c r="FP50" s="48">
        <f t="shared" si="297"/>
        <v>0</v>
      </c>
      <c r="FQ50" s="48">
        <f t="shared" si="298"/>
        <v>0</v>
      </c>
      <c r="FR50" s="48">
        <f t="shared" si="299"/>
        <v>0</v>
      </c>
      <c r="FS50" s="48">
        <f t="shared" si="300"/>
        <v>0</v>
      </c>
      <c r="FT50" s="48">
        <f t="shared" si="301"/>
        <v>0</v>
      </c>
      <c r="FU50" s="48">
        <f t="shared" si="302"/>
        <v>0</v>
      </c>
      <c r="FV50" s="48">
        <f t="shared" si="303"/>
        <v>0</v>
      </c>
      <c r="FW50" s="48">
        <f t="shared" si="304"/>
        <v>0</v>
      </c>
      <c r="FX50" s="48">
        <f t="shared" si="305"/>
        <v>0</v>
      </c>
      <c r="FY50" s="48">
        <f t="shared" si="306"/>
        <v>0</v>
      </c>
      <c r="FZ50" s="48">
        <f t="shared" si="307"/>
        <v>0</v>
      </c>
      <c r="GA50" s="48">
        <f t="shared" si="308"/>
        <v>0</v>
      </c>
      <c r="GB50" s="48">
        <f t="shared" si="309"/>
        <v>0</v>
      </c>
      <c r="GC50" s="48">
        <f t="shared" si="310"/>
        <v>0</v>
      </c>
      <c r="GG50">
        <f t="shared" si="311"/>
        <v>0</v>
      </c>
    </row>
    <row r="51" spans="1:189" x14ac:dyDescent="0.25">
      <c r="A51" s="690"/>
      <c r="B51" s="690"/>
      <c r="C51" s="690"/>
      <c r="D51" s="690"/>
      <c r="E51" s="690"/>
      <c r="F51" s="690"/>
      <c r="G51" s="889"/>
      <c r="H51" s="690"/>
      <c r="I51" s="690"/>
      <c r="J51" s="690"/>
      <c r="K51" s="690"/>
      <c r="L51" s="690"/>
      <c r="M51" s="690"/>
      <c r="N51" s="507" t="str">
        <f t="shared" si="159"/>
        <v/>
      </c>
      <c r="O51" s="690"/>
      <c r="P51" s="507" t="str">
        <f t="shared" si="158"/>
        <v/>
      </c>
      <c r="Q51" s="690"/>
      <c r="R51" s="690"/>
      <c r="S51" s="690"/>
      <c r="T51" s="690"/>
      <c r="U51">
        <f t="shared" si="312"/>
        <v>0</v>
      </c>
      <c r="V51">
        <f t="shared" si="313"/>
        <v>0</v>
      </c>
      <c r="X51">
        <f t="shared" si="314"/>
        <v>0</v>
      </c>
      <c r="Y51">
        <f t="shared" si="315"/>
        <v>0</v>
      </c>
      <c r="Z51">
        <f t="shared" si="316"/>
        <v>0</v>
      </c>
      <c r="AA51">
        <f t="shared" si="317"/>
        <v>0</v>
      </c>
      <c r="AB51" s="25"/>
      <c r="AC51" s="25"/>
      <c r="AD51" s="25"/>
      <c r="AF51" s="48" t="s">
        <v>706</v>
      </c>
      <c r="AG51" s="689"/>
      <c r="AH51" s="689"/>
      <c r="AI51" s="48">
        <f t="shared" si="160"/>
        <v>0</v>
      </c>
      <c r="AJ51" s="48">
        <f t="shared" si="161"/>
        <v>0</v>
      </c>
      <c r="AK51" s="48">
        <f t="shared" si="162"/>
        <v>0</v>
      </c>
      <c r="AL51" s="48">
        <f t="shared" si="163"/>
        <v>0</v>
      </c>
      <c r="AM51" s="48">
        <f t="shared" si="164"/>
        <v>0</v>
      </c>
      <c r="AN51" s="48">
        <f t="shared" si="165"/>
        <v>0</v>
      </c>
      <c r="AO51" s="48">
        <f t="shared" si="166"/>
        <v>0</v>
      </c>
      <c r="AP51" s="48">
        <f t="shared" si="167"/>
        <v>0</v>
      </c>
      <c r="AQ51" s="48">
        <f t="shared" si="168"/>
        <v>0</v>
      </c>
      <c r="AR51" s="48">
        <f t="shared" si="169"/>
        <v>0</v>
      </c>
      <c r="AS51" s="48">
        <f t="shared" si="170"/>
        <v>0</v>
      </c>
      <c r="AT51" s="48">
        <f t="shared" si="171"/>
        <v>0</v>
      </c>
      <c r="AU51" s="48">
        <f t="shared" si="172"/>
        <v>0</v>
      </c>
      <c r="AV51" s="48">
        <f t="shared" si="173"/>
        <v>0</v>
      </c>
      <c r="AW51" s="48">
        <f t="shared" si="174"/>
        <v>0</v>
      </c>
      <c r="AX51" s="48">
        <f t="shared" si="175"/>
        <v>0</v>
      </c>
      <c r="AY51" s="48">
        <f t="shared" si="176"/>
        <v>0</v>
      </c>
      <c r="AZ51" s="48">
        <f t="shared" si="177"/>
        <v>0</v>
      </c>
      <c r="BA51" s="48">
        <f t="shared" si="178"/>
        <v>0</v>
      </c>
      <c r="BB51" s="48">
        <f t="shared" si="179"/>
        <v>0</v>
      </c>
      <c r="BC51" s="48">
        <f t="shared" si="180"/>
        <v>0</v>
      </c>
      <c r="BD51" s="48">
        <f t="shared" si="181"/>
        <v>0</v>
      </c>
      <c r="BE51" s="48">
        <f t="shared" si="182"/>
        <v>0</v>
      </c>
      <c r="BF51" s="48">
        <f t="shared" si="183"/>
        <v>0</v>
      </c>
      <c r="BG51" s="48">
        <f t="shared" si="184"/>
        <v>0</v>
      </c>
      <c r="BH51" s="48">
        <f t="shared" si="185"/>
        <v>0</v>
      </c>
      <c r="BI51" s="48">
        <f t="shared" si="186"/>
        <v>0</v>
      </c>
      <c r="BJ51" s="48">
        <f t="shared" si="187"/>
        <v>0</v>
      </c>
      <c r="BK51" s="48">
        <f t="shared" si="188"/>
        <v>0</v>
      </c>
      <c r="BL51" s="48">
        <f t="shared" si="189"/>
        <v>0</v>
      </c>
      <c r="BM51" s="48">
        <f t="shared" si="190"/>
        <v>0</v>
      </c>
      <c r="BN51" s="48">
        <f t="shared" si="191"/>
        <v>0</v>
      </c>
      <c r="BO51" s="48">
        <f t="shared" si="192"/>
        <v>0</v>
      </c>
      <c r="BP51" s="48">
        <f t="shared" si="193"/>
        <v>0</v>
      </c>
      <c r="BQ51" s="48">
        <f t="shared" si="194"/>
        <v>0</v>
      </c>
      <c r="BR51" s="48">
        <f t="shared" si="195"/>
        <v>0</v>
      </c>
      <c r="BS51" s="48">
        <f t="shared" si="196"/>
        <v>0</v>
      </c>
      <c r="BT51" s="48">
        <f t="shared" si="197"/>
        <v>0</v>
      </c>
      <c r="BU51" s="48">
        <f t="shared" si="198"/>
        <v>0</v>
      </c>
      <c r="BV51" s="48">
        <f t="shared" si="199"/>
        <v>0</v>
      </c>
      <c r="BW51" s="48">
        <f t="shared" si="200"/>
        <v>0</v>
      </c>
      <c r="BX51" s="48">
        <f t="shared" si="201"/>
        <v>0</v>
      </c>
      <c r="BY51" s="48">
        <f t="shared" si="202"/>
        <v>0</v>
      </c>
      <c r="BZ51" s="48">
        <f t="shared" si="203"/>
        <v>0</v>
      </c>
      <c r="CA51" s="48">
        <f t="shared" si="204"/>
        <v>0</v>
      </c>
      <c r="CB51" s="48">
        <f t="shared" si="205"/>
        <v>0</v>
      </c>
      <c r="CC51" s="48">
        <f t="shared" si="206"/>
        <v>0</v>
      </c>
      <c r="CD51" s="48">
        <f t="shared" si="207"/>
        <v>0</v>
      </c>
      <c r="CE51" s="48">
        <f t="shared" si="208"/>
        <v>0</v>
      </c>
      <c r="CF51" s="48">
        <f t="shared" si="209"/>
        <v>0</v>
      </c>
      <c r="CG51" s="48">
        <f t="shared" si="210"/>
        <v>0</v>
      </c>
      <c r="CH51" s="48">
        <f t="shared" si="211"/>
        <v>0</v>
      </c>
      <c r="CI51" s="48">
        <f t="shared" si="212"/>
        <v>0</v>
      </c>
      <c r="CJ51" s="48">
        <f t="shared" si="213"/>
        <v>0</v>
      </c>
      <c r="CK51" s="48">
        <f t="shared" si="214"/>
        <v>0</v>
      </c>
      <c r="CL51" s="48">
        <f t="shared" si="215"/>
        <v>0</v>
      </c>
      <c r="CM51" s="48">
        <f t="shared" si="216"/>
        <v>0</v>
      </c>
      <c r="CN51" s="48">
        <f t="shared" si="217"/>
        <v>0</v>
      </c>
      <c r="CO51" s="48">
        <f t="shared" si="218"/>
        <v>0</v>
      </c>
      <c r="CP51" s="48">
        <f t="shared" si="219"/>
        <v>0</v>
      </c>
      <c r="CQ51" s="48">
        <f t="shared" si="220"/>
        <v>0</v>
      </c>
      <c r="CR51" s="48">
        <f t="shared" si="221"/>
        <v>0</v>
      </c>
      <c r="CS51" s="48">
        <f t="shared" si="222"/>
        <v>0</v>
      </c>
      <c r="CT51" s="48">
        <f t="shared" si="223"/>
        <v>0</v>
      </c>
      <c r="CU51" s="48">
        <f t="shared" si="224"/>
        <v>0</v>
      </c>
      <c r="CV51" s="48">
        <f t="shared" si="225"/>
        <v>0</v>
      </c>
      <c r="CW51" s="48">
        <f t="shared" si="226"/>
        <v>0</v>
      </c>
      <c r="CX51" s="48">
        <f t="shared" si="227"/>
        <v>0</v>
      </c>
      <c r="CY51" s="48">
        <f t="shared" si="228"/>
        <v>0</v>
      </c>
      <c r="CZ51" s="48">
        <f t="shared" si="229"/>
        <v>0</v>
      </c>
      <c r="DA51" s="48">
        <f t="shared" si="230"/>
        <v>0</v>
      </c>
      <c r="DB51" s="48">
        <f t="shared" si="231"/>
        <v>0</v>
      </c>
      <c r="DC51" s="48">
        <f t="shared" si="232"/>
        <v>0</v>
      </c>
      <c r="DD51" s="48">
        <f t="shared" si="233"/>
        <v>0</v>
      </c>
      <c r="DE51" s="48">
        <f t="shared" si="234"/>
        <v>0</v>
      </c>
      <c r="DF51" s="48">
        <f t="shared" si="235"/>
        <v>0</v>
      </c>
      <c r="DG51" s="48">
        <f t="shared" si="236"/>
        <v>0</v>
      </c>
      <c r="DH51" s="48">
        <f t="shared" si="237"/>
        <v>0</v>
      </c>
      <c r="DI51" s="48">
        <f t="shared" si="238"/>
        <v>0</v>
      </c>
      <c r="DJ51" s="48">
        <f t="shared" si="239"/>
        <v>0</v>
      </c>
      <c r="DK51" s="48">
        <f t="shared" si="240"/>
        <v>0</v>
      </c>
      <c r="DL51" s="48">
        <f t="shared" si="241"/>
        <v>0</v>
      </c>
      <c r="DM51" s="48">
        <f t="shared" si="242"/>
        <v>0</v>
      </c>
      <c r="DN51" s="48">
        <f t="shared" si="243"/>
        <v>0</v>
      </c>
      <c r="DO51" s="48">
        <f t="shared" si="244"/>
        <v>0</v>
      </c>
      <c r="DP51" s="48">
        <f t="shared" si="245"/>
        <v>0</v>
      </c>
      <c r="DQ51" s="48">
        <f t="shared" si="246"/>
        <v>0</v>
      </c>
      <c r="DR51" s="48">
        <f t="shared" si="247"/>
        <v>0</v>
      </c>
      <c r="DS51" s="48">
        <f t="shared" si="248"/>
        <v>0</v>
      </c>
      <c r="DT51" s="48">
        <f t="shared" si="249"/>
        <v>0</v>
      </c>
      <c r="DU51" s="48">
        <f t="shared" si="250"/>
        <v>0</v>
      </c>
      <c r="DV51" s="48">
        <f t="shared" si="251"/>
        <v>0</v>
      </c>
      <c r="DW51" s="48">
        <f t="shared" si="252"/>
        <v>0</v>
      </c>
      <c r="DX51" s="48">
        <f t="shared" si="253"/>
        <v>0</v>
      </c>
      <c r="DY51" s="48">
        <f t="shared" si="254"/>
        <v>0</v>
      </c>
      <c r="DZ51" s="48">
        <f t="shared" si="255"/>
        <v>0</v>
      </c>
      <c r="EA51" s="48">
        <f t="shared" si="256"/>
        <v>0</v>
      </c>
      <c r="EB51" s="48">
        <f t="shared" si="257"/>
        <v>0</v>
      </c>
      <c r="EC51" s="48">
        <f t="shared" si="258"/>
        <v>0</v>
      </c>
      <c r="ED51" s="48">
        <f t="shared" si="259"/>
        <v>0</v>
      </c>
      <c r="EE51" s="48">
        <f t="shared" si="260"/>
        <v>0</v>
      </c>
      <c r="EF51" s="48">
        <f t="shared" si="261"/>
        <v>0</v>
      </c>
      <c r="EG51" s="48">
        <f t="shared" si="262"/>
        <v>0</v>
      </c>
      <c r="EH51" s="48">
        <f t="shared" si="263"/>
        <v>0</v>
      </c>
      <c r="EI51" s="48">
        <f t="shared" si="264"/>
        <v>0</v>
      </c>
      <c r="EJ51" s="48">
        <f t="shared" si="265"/>
        <v>0</v>
      </c>
      <c r="EK51" s="48">
        <f t="shared" si="266"/>
        <v>0</v>
      </c>
      <c r="EL51" s="48">
        <f t="shared" si="267"/>
        <v>0</v>
      </c>
      <c r="EM51" s="48">
        <f t="shared" si="268"/>
        <v>0</v>
      </c>
      <c r="EN51" s="48">
        <f t="shared" si="269"/>
        <v>0</v>
      </c>
      <c r="EO51" s="48">
        <f t="shared" si="270"/>
        <v>0</v>
      </c>
      <c r="EP51" s="48">
        <f t="shared" si="271"/>
        <v>0</v>
      </c>
      <c r="EQ51" s="48">
        <f t="shared" si="272"/>
        <v>0</v>
      </c>
      <c r="ER51" s="48">
        <f t="shared" si="273"/>
        <v>0</v>
      </c>
      <c r="ES51" s="48">
        <f t="shared" si="274"/>
        <v>0</v>
      </c>
      <c r="ET51" s="48">
        <f t="shared" si="275"/>
        <v>0</v>
      </c>
      <c r="EU51" s="48">
        <f t="shared" si="276"/>
        <v>0</v>
      </c>
      <c r="EV51" s="48">
        <f t="shared" si="277"/>
        <v>0</v>
      </c>
      <c r="EW51" s="48">
        <f t="shared" si="278"/>
        <v>0</v>
      </c>
      <c r="EX51" s="48">
        <f t="shared" si="279"/>
        <v>0</v>
      </c>
      <c r="EY51" s="48">
        <f t="shared" si="280"/>
        <v>0</v>
      </c>
      <c r="EZ51" s="48">
        <f t="shared" si="281"/>
        <v>0</v>
      </c>
      <c r="FA51" s="48">
        <f t="shared" si="282"/>
        <v>0</v>
      </c>
      <c r="FB51" s="48">
        <f t="shared" si="283"/>
        <v>0</v>
      </c>
      <c r="FC51" s="48">
        <f t="shared" si="284"/>
        <v>0</v>
      </c>
      <c r="FD51" s="48">
        <f t="shared" si="285"/>
        <v>0</v>
      </c>
      <c r="FE51" s="48">
        <f t="shared" si="286"/>
        <v>0</v>
      </c>
      <c r="FF51" s="48">
        <f t="shared" si="287"/>
        <v>0</v>
      </c>
      <c r="FG51" s="48">
        <f t="shared" si="288"/>
        <v>0</v>
      </c>
      <c r="FH51" s="48">
        <f t="shared" si="289"/>
        <v>0</v>
      </c>
      <c r="FI51" s="48">
        <f t="shared" si="290"/>
        <v>0</v>
      </c>
      <c r="FJ51" s="48">
        <f t="shared" si="291"/>
        <v>0</v>
      </c>
      <c r="FK51" s="48">
        <f t="shared" si="292"/>
        <v>0</v>
      </c>
      <c r="FL51" s="48">
        <f t="shared" si="293"/>
        <v>0</v>
      </c>
      <c r="FM51" s="48">
        <f t="shared" si="294"/>
        <v>0</v>
      </c>
      <c r="FN51" s="48">
        <f t="shared" si="295"/>
        <v>0</v>
      </c>
      <c r="FO51" s="48">
        <f t="shared" si="296"/>
        <v>0</v>
      </c>
      <c r="FP51" s="48">
        <f t="shared" si="297"/>
        <v>0</v>
      </c>
      <c r="FQ51" s="48">
        <f t="shared" si="298"/>
        <v>0</v>
      </c>
      <c r="FR51" s="48">
        <f t="shared" si="299"/>
        <v>0</v>
      </c>
      <c r="FS51" s="48">
        <f t="shared" si="300"/>
        <v>0</v>
      </c>
      <c r="FT51" s="48">
        <f t="shared" si="301"/>
        <v>0</v>
      </c>
      <c r="FU51" s="48">
        <f t="shared" si="302"/>
        <v>0</v>
      </c>
      <c r="FV51" s="48">
        <f t="shared" si="303"/>
        <v>0</v>
      </c>
      <c r="FW51" s="48">
        <f t="shared" si="304"/>
        <v>0</v>
      </c>
      <c r="FX51" s="48">
        <f t="shared" si="305"/>
        <v>0</v>
      </c>
      <c r="FY51" s="48">
        <f t="shared" si="306"/>
        <v>0</v>
      </c>
      <c r="FZ51" s="48">
        <f t="shared" si="307"/>
        <v>0</v>
      </c>
      <c r="GA51" s="48">
        <f t="shared" si="308"/>
        <v>0</v>
      </c>
      <c r="GB51" s="48">
        <f t="shared" si="309"/>
        <v>0</v>
      </c>
      <c r="GC51" s="48">
        <f t="shared" si="310"/>
        <v>0</v>
      </c>
      <c r="GG51">
        <f t="shared" si="311"/>
        <v>0</v>
      </c>
    </row>
    <row r="52" spans="1:189" x14ac:dyDescent="0.25">
      <c r="A52" s="690"/>
      <c r="B52" s="690"/>
      <c r="C52" s="690"/>
      <c r="D52" s="690"/>
      <c r="E52" s="690"/>
      <c r="F52" s="690"/>
      <c r="G52" s="889"/>
      <c r="H52" s="690"/>
      <c r="I52" s="690"/>
      <c r="J52" s="690"/>
      <c r="K52" s="690"/>
      <c r="L52" s="690"/>
      <c r="M52" s="690"/>
      <c r="N52" s="507" t="str">
        <f t="shared" si="159"/>
        <v/>
      </c>
      <c r="O52" s="690"/>
      <c r="P52" s="507" t="str">
        <f t="shared" si="158"/>
        <v/>
      </c>
      <c r="Q52" s="690"/>
      <c r="R52" s="690"/>
      <c r="S52" s="690"/>
      <c r="T52" s="690"/>
      <c r="U52">
        <f t="shared" si="312"/>
        <v>0</v>
      </c>
      <c r="V52">
        <f t="shared" si="313"/>
        <v>0</v>
      </c>
      <c r="X52">
        <f t="shared" si="314"/>
        <v>0</v>
      </c>
      <c r="Y52">
        <f t="shared" si="315"/>
        <v>0</v>
      </c>
      <c r="Z52">
        <f t="shared" si="316"/>
        <v>0</v>
      </c>
      <c r="AA52">
        <f t="shared" si="317"/>
        <v>0</v>
      </c>
      <c r="AB52" s="25"/>
      <c r="AC52" s="25"/>
      <c r="AD52" s="25"/>
      <c r="AF52" s="48" t="s">
        <v>707</v>
      </c>
      <c r="AG52" s="689"/>
      <c r="AH52" s="689"/>
      <c r="AI52" s="48">
        <f t="shared" si="160"/>
        <v>0</v>
      </c>
      <c r="AJ52" s="48">
        <f t="shared" si="161"/>
        <v>0</v>
      </c>
      <c r="AK52" s="48">
        <f t="shared" si="162"/>
        <v>0</v>
      </c>
      <c r="AL52" s="48">
        <f t="shared" si="163"/>
        <v>0</v>
      </c>
      <c r="AM52" s="48">
        <f t="shared" si="164"/>
        <v>0</v>
      </c>
      <c r="AN52" s="48">
        <f t="shared" si="165"/>
        <v>0</v>
      </c>
      <c r="AO52" s="48">
        <f t="shared" si="166"/>
        <v>0</v>
      </c>
      <c r="AP52" s="48">
        <f t="shared" si="167"/>
        <v>0</v>
      </c>
      <c r="AQ52" s="48">
        <f t="shared" si="168"/>
        <v>0</v>
      </c>
      <c r="AR52" s="48">
        <f t="shared" si="169"/>
        <v>0</v>
      </c>
      <c r="AS52" s="48">
        <f t="shared" si="170"/>
        <v>0</v>
      </c>
      <c r="AT52" s="48">
        <f t="shared" si="171"/>
        <v>0</v>
      </c>
      <c r="AU52" s="48">
        <f t="shared" si="172"/>
        <v>0</v>
      </c>
      <c r="AV52" s="48">
        <f t="shared" si="173"/>
        <v>0</v>
      </c>
      <c r="AW52" s="48">
        <f t="shared" si="174"/>
        <v>0</v>
      </c>
      <c r="AX52" s="48">
        <f t="shared" si="175"/>
        <v>0</v>
      </c>
      <c r="AY52" s="48">
        <f t="shared" si="176"/>
        <v>0</v>
      </c>
      <c r="AZ52" s="48">
        <f t="shared" si="177"/>
        <v>0</v>
      </c>
      <c r="BA52" s="48">
        <f t="shared" si="178"/>
        <v>0</v>
      </c>
      <c r="BB52" s="48">
        <f t="shared" si="179"/>
        <v>0</v>
      </c>
      <c r="BC52" s="48">
        <f t="shared" si="180"/>
        <v>0</v>
      </c>
      <c r="BD52" s="48">
        <f t="shared" si="181"/>
        <v>0</v>
      </c>
      <c r="BE52" s="48">
        <f t="shared" si="182"/>
        <v>0</v>
      </c>
      <c r="BF52" s="48">
        <f t="shared" si="183"/>
        <v>0</v>
      </c>
      <c r="BG52" s="48">
        <f t="shared" si="184"/>
        <v>0</v>
      </c>
      <c r="BH52" s="48">
        <f t="shared" si="185"/>
        <v>0</v>
      </c>
      <c r="BI52" s="48">
        <f t="shared" si="186"/>
        <v>0</v>
      </c>
      <c r="BJ52" s="48">
        <f t="shared" si="187"/>
        <v>0</v>
      </c>
      <c r="BK52" s="48">
        <f t="shared" si="188"/>
        <v>0</v>
      </c>
      <c r="BL52" s="48">
        <f t="shared" si="189"/>
        <v>0</v>
      </c>
      <c r="BM52" s="48">
        <f t="shared" si="190"/>
        <v>0</v>
      </c>
      <c r="BN52" s="48">
        <f t="shared" si="191"/>
        <v>0</v>
      </c>
      <c r="BO52" s="48">
        <f t="shared" si="192"/>
        <v>0</v>
      </c>
      <c r="BP52" s="48">
        <f t="shared" si="193"/>
        <v>0</v>
      </c>
      <c r="BQ52" s="48">
        <f t="shared" si="194"/>
        <v>0</v>
      </c>
      <c r="BR52" s="48">
        <f t="shared" si="195"/>
        <v>0</v>
      </c>
      <c r="BS52" s="48">
        <f t="shared" si="196"/>
        <v>0</v>
      </c>
      <c r="BT52" s="48">
        <f t="shared" si="197"/>
        <v>0</v>
      </c>
      <c r="BU52" s="48">
        <f t="shared" si="198"/>
        <v>0</v>
      </c>
      <c r="BV52" s="48">
        <f t="shared" si="199"/>
        <v>0</v>
      </c>
      <c r="BW52" s="48">
        <f t="shared" si="200"/>
        <v>0</v>
      </c>
      <c r="BX52" s="48">
        <f t="shared" si="201"/>
        <v>0</v>
      </c>
      <c r="BY52" s="48">
        <f t="shared" si="202"/>
        <v>0</v>
      </c>
      <c r="BZ52" s="48">
        <f t="shared" si="203"/>
        <v>0</v>
      </c>
      <c r="CA52" s="48">
        <f t="shared" si="204"/>
        <v>0</v>
      </c>
      <c r="CB52" s="48">
        <f t="shared" si="205"/>
        <v>0</v>
      </c>
      <c r="CC52" s="48">
        <f t="shared" si="206"/>
        <v>0</v>
      </c>
      <c r="CD52" s="48">
        <f t="shared" si="207"/>
        <v>0</v>
      </c>
      <c r="CE52" s="48">
        <f t="shared" si="208"/>
        <v>0</v>
      </c>
      <c r="CF52" s="48">
        <f t="shared" si="209"/>
        <v>0</v>
      </c>
      <c r="CG52" s="48">
        <f t="shared" si="210"/>
        <v>0</v>
      </c>
      <c r="CH52" s="48">
        <f t="shared" si="211"/>
        <v>0</v>
      </c>
      <c r="CI52" s="48">
        <f t="shared" si="212"/>
        <v>0</v>
      </c>
      <c r="CJ52" s="48">
        <f t="shared" si="213"/>
        <v>0</v>
      </c>
      <c r="CK52" s="48">
        <f t="shared" si="214"/>
        <v>0</v>
      </c>
      <c r="CL52" s="48">
        <f t="shared" si="215"/>
        <v>0</v>
      </c>
      <c r="CM52" s="48">
        <f t="shared" si="216"/>
        <v>0</v>
      </c>
      <c r="CN52" s="48">
        <f t="shared" si="217"/>
        <v>0</v>
      </c>
      <c r="CO52" s="48">
        <f t="shared" si="218"/>
        <v>0</v>
      </c>
      <c r="CP52" s="48">
        <f t="shared" si="219"/>
        <v>0</v>
      </c>
      <c r="CQ52" s="48">
        <f t="shared" si="220"/>
        <v>0</v>
      </c>
      <c r="CR52" s="48">
        <f t="shared" si="221"/>
        <v>0</v>
      </c>
      <c r="CS52" s="48">
        <f t="shared" si="222"/>
        <v>0</v>
      </c>
      <c r="CT52" s="48">
        <f t="shared" si="223"/>
        <v>0</v>
      </c>
      <c r="CU52" s="48">
        <f t="shared" si="224"/>
        <v>0</v>
      </c>
      <c r="CV52" s="48">
        <f t="shared" si="225"/>
        <v>0</v>
      </c>
      <c r="CW52" s="48">
        <f t="shared" si="226"/>
        <v>0</v>
      </c>
      <c r="CX52" s="48">
        <f t="shared" si="227"/>
        <v>0</v>
      </c>
      <c r="CY52" s="48">
        <f t="shared" si="228"/>
        <v>0</v>
      </c>
      <c r="CZ52" s="48">
        <f t="shared" si="229"/>
        <v>0</v>
      </c>
      <c r="DA52" s="48">
        <f t="shared" si="230"/>
        <v>0</v>
      </c>
      <c r="DB52" s="48">
        <f t="shared" si="231"/>
        <v>0</v>
      </c>
      <c r="DC52" s="48">
        <f t="shared" si="232"/>
        <v>0</v>
      </c>
      <c r="DD52" s="48">
        <f t="shared" si="233"/>
        <v>0</v>
      </c>
      <c r="DE52" s="48">
        <f t="shared" si="234"/>
        <v>0</v>
      </c>
      <c r="DF52" s="48">
        <f t="shared" si="235"/>
        <v>0</v>
      </c>
      <c r="DG52" s="48">
        <f t="shared" si="236"/>
        <v>0</v>
      </c>
      <c r="DH52" s="48">
        <f t="shared" si="237"/>
        <v>0</v>
      </c>
      <c r="DI52" s="48">
        <f t="shared" si="238"/>
        <v>0</v>
      </c>
      <c r="DJ52" s="48">
        <f t="shared" si="239"/>
        <v>0</v>
      </c>
      <c r="DK52" s="48">
        <f t="shared" si="240"/>
        <v>0</v>
      </c>
      <c r="DL52" s="48">
        <f t="shared" si="241"/>
        <v>0</v>
      </c>
      <c r="DM52" s="48">
        <f t="shared" si="242"/>
        <v>0</v>
      </c>
      <c r="DN52" s="48">
        <f t="shared" si="243"/>
        <v>0</v>
      </c>
      <c r="DO52" s="48">
        <f t="shared" si="244"/>
        <v>0</v>
      </c>
      <c r="DP52" s="48">
        <f t="shared" si="245"/>
        <v>0</v>
      </c>
      <c r="DQ52" s="48">
        <f t="shared" si="246"/>
        <v>0</v>
      </c>
      <c r="DR52" s="48">
        <f t="shared" si="247"/>
        <v>0</v>
      </c>
      <c r="DS52" s="48">
        <f t="shared" si="248"/>
        <v>0</v>
      </c>
      <c r="DT52" s="48">
        <f t="shared" si="249"/>
        <v>0</v>
      </c>
      <c r="DU52" s="48">
        <f t="shared" si="250"/>
        <v>0</v>
      </c>
      <c r="DV52" s="48">
        <f t="shared" si="251"/>
        <v>0</v>
      </c>
      <c r="DW52" s="48">
        <f t="shared" si="252"/>
        <v>0</v>
      </c>
      <c r="DX52" s="48">
        <f t="shared" si="253"/>
        <v>0</v>
      </c>
      <c r="DY52" s="48">
        <f t="shared" si="254"/>
        <v>0</v>
      </c>
      <c r="DZ52" s="48">
        <f t="shared" si="255"/>
        <v>0</v>
      </c>
      <c r="EA52" s="48">
        <f t="shared" si="256"/>
        <v>0</v>
      </c>
      <c r="EB52" s="48">
        <f t="shared" si="257"/>
        <v>0</v>
      </c>
      <c r="EC52" s="48">
        <f t="shared" si="258"/>
        <v>0</v>
      </c>
      <c r="ED52" s="48">
        <f t="shared" si="259"/>
        <v>0</v>
      </c>
      <c r="EE52" s="48">
        <f t="shared" si="260"/>
        <v>0</v>
      </c>
      <c r="EF52" s="48">
        <f t="shared" si="261"/>
        <v>0</v>
      </c>
      <c r="EG52" s="48">
        <f t="shared" si="262"/>
        <v>0</v>
      </c>
      <c r="EH52" s="48">
        <f t="shared" si="263"/>
        <v>0</v>
      </c>
      <c r="EI52" s="48">
        <f t="shared" si="264"/>
        <v>0</v>
      </c>
      <c r="EJ52" s="48">
        <f t="shared" si="265"/>
        <v>0</v>
      </c>
      <c r="EK52" s="48">
        <f t="shared" si="266"/>
        <v>0</v>
      </c>
      <c r="EL52" s="48">
        <f t="shared" si="267"/>
        <v>0</v>
      </c>
      <c r="EM52" s="48">
        <f t="shared" si="268"/>
        <v>0</v>
      </c>
      <c r="EN52" s="48">
        <f t="shared" si="269"/>
        <v>0</v>
      </c>
      <c r="EO52" s="48">
        <f t="shared" si="270"/>
        <v>0</v>
      </c>
      <c r="EP52" s="48">
        <f t="shared" si="271"/>
        <v>0</v>
      </c>
      <c r="EQ52" s="48">
        <f t="shared" si="272"/>
        <v>0</v>
      </c>
      <c r="ER52" s="48">
        <f t="shared" si="273"/>
        <v>0</v>
      </c>
      <c r="ES52" s="48">
        <f t="shared" si="274"/>
        <v>0</v>
      </c>
      <c r="ET52" s="48">
        <f t="shared" si="275"/>
        <v>0</v>
      </c>
      <c r="EU52" s="48">
        <f t="shared" si="276"/>
        <v>0</v>
      </c>
      <c r="EV52" s="48">
        <f t="shared" si="277"/>
        <v>0</v>
      </c>
      <c r="EW52" s="48">
        <f t="shared" si="278"/>
        <v>0</v>
      </c>
      <c r="EX52" s="48">
        <f t="shared" si="279"/>
        <v>0</v>
      </c>
      <c r="EY52" s="48">
        <f t="shared" si="280"/>
        <v>0</v>
      </c>
      <c r="EZ52" s="48">
        <f t="shared" si="281"/>
        <v>0</v>
      </c>
      <c r="FA52" s="48">
        <f t="shared" si="282"/>
        <v>0</v>
      </c>
      <c r="FB52" s="48">
        <f t="shared" si="283"/>
        <v>0</v>
      </c>
      <c r="FC52" s="48">
        <f t="shared" si="284"/>
        <v>0</v>
      </c>
      <c r="FD52" s="48">
        <f t="shared" si="285"/>
        <v>0</v>
      </c>
      <c r="FE52" s="48">
        <f t="shared" si="286"/>
        <v>0</v>
      </c>
      <c r="FF52" s="48">
        <f t="shared" si="287"/>
        <v>0</v>
      </c>
      <c r="FG52" s="48">
        <f t="shared" si="288"/>
        <v>0</v>
      </c>
      <c r="FH52" s="48">
        <f t="shared" si="289"/>
        <v>0</v>
      </c>
      <c r="FI52" s="48">
        <f t="shared" si="290"/>
        <v>0</v>
      </c>
      <c r="FJ52" s="48">
        <f t="shared" si="291"/>
        <v>0</v>
      </c>
      <c r="FK52" s="48">
        <f t="shared" si="292"/>
        <v>0</v>
      </c>
      <c r="FL52" s="48">
        <f t="shared" si="293"/>
        <v>0</v>
      </c>
      <c r="FM52" s="48">
        <f t="shared" si="294"/>
        <v>0</v>
      </c>
      <c r="FN52" s="48">
        <f t="shared" si="295"/>
        <v>0</v>
      </c>
      <c r="FO52" s="48">
        <f t="shared" si="296"/>
        <v>0</v>
      </c>
      <c r="FP52" s="48">
        <f t="shared" si="297"/>
        <v>0</v>
      </c>
      <c r="FQ52" s="48">
        <f t="shared" si="298"/>
        <v>0</v>
      </c>
      <c r="FR52" s="48">
        <f t="shared" si="299"/>
        <v>0</v>
      </c>
      <c r="FS52" s="48">
        <f t="shared" si="300"/>
        <v>0</v>
      </c>
      <c r="FT52" s="48">
        <f t="shared" si="301"/>
        <v>0</v>
      </c>
      <c r="FU52" s="48">
        <f t="shared" si="302"/>
        <v>0</v>
      </c>
      <c r="FV52" s="48">
        <f t="shared" si="303"/>
        <v>0</v>
      </c>
      <c r="FW52" s="48">
        <f t="shared" si="304"/>
        <v>0</v>
      </c>
      <c r="FX52" s="48">
        <f t="shared" si="305"/>
        <v>0</v>
      </c>
      <c r="FY52" s="48">
        <f t="shared" si="306"/>
        <v>0</v>
      </c>
      <c r="FZ52" s="48">
        <f t="shared" si="307"/>
        <v>0</v>
      </c>
      <c r="GA52" s="48">
        <f t="shared" si="308"/>
        <v>0</v>
      </c>
      <c r="GB52" s="48">
        <f t="shared" si="309"/>
        <v>0</v>
      </c>
      <c r="GC52" s="48">
        <f t="shared" si="310"/>
        <v>0</v>
      </c>
      <c r="GG52">
        <f t="shared" si="311"/>
        <v>0</v>
      </c>
    </row>
    <row r="53" spans="1:189" x14ac:dyDescent="0.25">
      <c r="A53" s="690"/>
      <c r="B53" s="690"/>
      <c r="C53" s="690"/>
      <c r="D53" s="690"/>
      <c r="E53" s="690"/>
      <c r="F53" s="690"/>
      <c r="G53" s="889"/>
      <c r="H53" s="690"/>
      <c r="I53" s="690"/>
      <c r="J53" s="690"/>
      <c r="K53" s="690"/>
      <c r="L53" s="690"/>
      <c r="M53" s="690"/>
      <c r="N53" s="507" t="str">
        <f t="shared" si="159"/>
        <v/>
      </c>
      <c r="O53" s="690"/>
      <c r="P53" s="507" t="str">
        <f t="shared" si="158"/>
        <v/>
      </c>
      <c r="Q53" s="690"/>
      <c r="R53" s="690"/>
      <c r="S53" s="690"/>
      <c r="T53" s="690"/>
      <c r="U53">
        <f t="shared" si="312"/>
        <v>0</v>
      </c>
      <c r="V53">
        <f t="shared" si="313"/>
        <v>0</v>
      </c>
      <c r="X53">
        <f t="shared" si="314"/>
        <v>0</v>
      </c>
      <c r="Y53">
        <f t="shared" si="315"/>
        <v>0</v>
      </c>
      <c r="Z53">
        <f t="shared" si="316"/>
        <v>0</v>
      </c>
      <c r="AA53">
        <f t="shared" si="317"/>
        <v>0</v>
      </c>
      <c r="AB53" s="25"/>
      <c r="AC53" s="25"/>
      <c r="AD53" s="25"/>
      <c r="AF53" s="48" t="s">
        <v>708</v>
      </c>
      <c r="AG53" s="689"/>
      <c r="AH53" s="689"/>
      <c r="AI53" s="48">
        <f t="shared" si="160"/>
        <v>0</v>
      </c>
      <c r="AJ53" s="48">
        <f t="shared" si="161"/>
        <v>0</v>
      </c>
      <c r="AK53" s="48">
        <f t="shared" si="162"/>
        <v>0</v>
      </c>
      <c r="AL53" s="48">
        <f t="shared" si="163"/>
        <v>0</v>
      </c>
      <c r="AM53" s="48">
        <f t="shared" si="164"/>
        <v>0</v>
      </c>
      <c r="AN53" s="48">
        <f t="shared" si="165"/>
        <v>0</v>
      </c>
      <c r="AO53" s="48">
        <f t="shared" si="166"/>
        <v>0</v>
      </c>
      <c r="AP53" s="48">
        <f t="shared" si="167"/>
        <v>0</v>
      </c>
      <c r="AQ53" s="48">
        <f t="shared" si="168"/>
        <v>0</v>
      </c>
      <c r="AR53" s="48">
        <f t="shared" si="169"/>
        <v>0</v>
      </c>
      <c r="AS53" s="48">
        <f t="shared" si="170"/>
        <v>0</v>
      </c>
      <c r="AT53" s="48">
        <f t="shared" si="171"/>
        <v>0</v>
      </c>
      <c r="AU53" s="48">
        <f t="shared" si="172"/>
        <v>0</v>
      </c>
      <c r="AV53" s="48">
        <f t="shared" si="173"/>
        <v>0</v>
      </c>
      <c r="AW53" s="48">
        <f t="shared" si="174"/>
        <v>0</v>
      </c>
      <c r="AX53" s="48">
        <f t="shared" si="175"/>
        <v>0</v>
      </c>
      <c r="AY53" s="48">
        <f t="shared" si="176"/>
        <v>0</v>
      </c>
      <c r="AZ53" s="48">
        <f t="shared" si="177"/>
        <v>0</v>
      </c>
      <c r="BA53" s="48">
        <f t="shared" si="178"/>
        <v>0</v>
      </c>
      <c r="BB53" s="48">
        <f t="shared" si="179"/>
        <v>0</v>
      </c>
      <c r="BC53" s="48">
        <f t="shared" si="180"/>
        <v>0</v>
      </c>
      <c r="BD53" s="48">
        <f t="shared" si="181"/>
        <v>0</v>
      </c>
      <c r="BE53" s="48">
        <f t="shared" si="182"/>
        <v>0</v>
      </c>
      <c r="BF53" s="48">
        <f t="shared" si="183"/>
        <v>0</v>
      </c>
      <c r="BG53" s="48">
        <f t="shared" si="184"/>
        <v>0</v>
      </c>
      <c r="BH53" s="48">
        <f t="shared" si="185"/>
        <v>0</v>
      </c>
      <c r="BI53" s="48">
        <f t="shared" si="186"/>
        <v>0</v>
      </c>
      <c r="BJ53" s="48">
        <f t="shared" si="187"/>
        <v>0</v>
      </c>
      <c r="BK53" s="48">
        <f t="shared" si="188"/>
        <v>0</v>
      </c>
      <c r="BL53" s="48">
        <f t="shared" si="189"/>
        <v>0</v>
      </c>
      <c r="BM53" s="48">
        <f t="shared" si="190"/>
        <v>0</v>
      </c>
      <c r="BN53" s="48">
        <f t="shared" si="191"/>
        <v>0</v>
      </c>
      <c r="BO53" s="48">
        <f t="shared" si="192"/>
        <v>0</v>
      </c>
      <c r="BP53" s="48">
        <f t="shared" si="193"/>
        <v>0</v>
      </c>
      <c r="BQ53" s="48">
        <f t="shared" si="194"/>
        <v>0</v>
      </c>
      <c r="BR53" s="48">
        <f t="shared" si="195"/>
        <v>0</v>
      </c>
      <c r="BS53" s="48">
        <f t="shared" si="196"/>
        <v>0</v>
      </c>
      <c r="BT53" s="48">
        <f t="shared" si="197"/>
        <v>0</v>
      </c>
      <c r="BU53" s="48">
        <f t="shared" si="198"/>
        <v>0</v>
      </c>
      <c r="BV53" s="48">
        <f t="shared" si="199"/>
        <v>0</v>
      </c>
      <c r="BW53" s="48">
        <f t="shared" si="200"/>
        <v>0</v>
      </c>
      <c r="BX53" s="48">
        <f t="shared" si="201"/>
        <v>0</v>
      </c>
      <c r="BY53" s="48">
        <f t="shared" si="202"/>
        <v>0</v>
      </c>
      <c r="BZ53" s="48">
        <f t="shared" si="203"/>
        <v>0</v>
      </c>
      <c r="CA53" s="48">
        <f t="shared" si="204"/>
        <v>0</v>
      </c>
      <c r="CB53" s="48">
        <f t="shared" si="205"/>
        <v>0</v>
      </c>
      <c r="CC53" s="48">
        <f t="shared" si="206"/>
        <v>0</v>
      </c>
      <c r="CD53" s="48">
        <f t="shared" si="207"/>
        <v>0</v>
      </c>
      <c r="CE53" s="48">
        <f t="shared" si="208"/>
        <v>0</v>
      </c>
      <c r="CF53" s="48">
        <f t="shared" si="209"/>
        <v>0</v>
      </c>
      <c r="CG53" s="48">
        <f t="shared" si="210"/>
        <v>0</v>
      </c>
      <c r="CH53" s="48">
        <f t="shared" si="211"/>
        <v>0</v>
      </c>
      <c r="CI53" s="48">
        <f t="shared" si="212"/>
        <v>0</v>
      </c>
      <c r="CJ53" s="48">
        <f t="shared" si="213"/>
        <v>0</v>
      </c>
      <c r="CK53" s="48">
        <f t="shared" si="214"/>
        <v>0</v>
      </c>
      <c r="CL53" s="48">
        <f t="shared" si="215"/>
        <v>0</v>
      </c>
      <c r="CM53" s="48">
        <f t="shared" si="216"/>
        <v>0</v>
      </c>
      <c r="CN53" s="48">
        <f t="shared" si="217"/>
        <v>0</v>
      </c>
      <c r="CO53" s="48">
        <f t="shared" si="218"/>
        <v>0</v>
      </c>
      <c r="CP53" s="48">
        <f t="shared" si="219"/>
        <v>0</v>
      </c>
      <c r="CQ53" s="48">
        <f t="shared" si="220"/>
        <v>0</v>
      </c>
      <c r="CR53" s="48">
        <f t="shared" si="221"/>
        <v>0</v>
      </c>
      <c r="CS53" s="48">
        <f t="shared" si="222"/>
        <v>0</v>
      </c>
      <c r="CT53" s="48">
        <f t="shared" si="223"/>
        <v>0</v>
      </c>
      <c r="CU53" s="48">
        <f t="shared" si="224"/>
        <v>0</v>
      </c>
      <c r="CV53" s="48">
        <f t="shared" si="225"/>
        <v>0</v>
      </c>
      <c r="CW53" s="48">
        <f t="shared" si="226"/>
        <v>0</v>
      </c>
      <c r="CX53" s="48">
        <f t="shared" si="227"/>
        <v>0</v>
      </c>
      <c r="CY53" s="48">
        <f t="shared" si="228"/>
        <v>0</v>
      </c>
      <c r="CZ53" s="48">
        <f t="shared" si="229"/>
        <v>0</v>
      </c>
      <c r="DA53" s="48">
        <f t="shared" si="230"/>
        <v>0</v>
      </c>
      <c r="DB53" s="48">
        <f t="shared" si="231"/>
        <v>0</v>
      </c>
      <c r="DC53" s="48">
        <f t="shared" si="232"/>
        <v>0</v>
      </c>
      <c r="DD53" s="48">
        <f t="shared" si="233"/>
        <v>0</v>
      </c>
      <c r="DE53" s="48">
        <f t="shared" si="234"/>
        <v>0</v>
      </c>
      <c r="DF53" s="48">
        <f t="shared" si="235"/>
        <v>0</v>
      </c>
      <c r="DG53" s="48">
        <f t="shared" si="236"/>
        <v>0</v>
      </c>
      <c r="DH53" s="48">
        <f t="shared" si="237"/>
        <v>0</v>
      </c>
      <c r="DI53" s="48">
        <f t="shared" si="238"/>
        <v>0</v>
      </c>
      <c r="DJ53" s="48">
        <f t="shared" si="239"/>
        <v>0</v>
      </c>
      <c r="DK53" s="48">
        <f t="shared" si="240"/>
        <v>0</v>
      </c>
      <c r="DL53" s="48">
        <f t="shared" si="241"/>
        <v>0</v>
      </c>
      <c r="DM53" s="48">
        <f t="shared" si="242"/>
        <v>0</v>
      </c>
      <c r="DN53" s="48">
        <f t="shared" si="243"/>
        <v>0</v>
      </c>
      <c r="DO53" s="48">
        <f t="shared" si="244"/>
        <v>0</v>
      </c>
      <c r="DP53" s="48">
        <f t="shared" si="245"/>
        <v>0</v>
      </c>
      <c r="DQ53" s="48">
        <f t="shared" si="246"/>
        <v>0</v>
      </c>
      <c r="DR53" s="48">
        <f t="shared" si="247"/>
        <v>0</v>
      </c>
      <c r="DS53" s="48">
        <f t="shared" si="248"/>
        <v>0</v>
      </c>
      <c r="DT53" s="48">
        <f t="shared" si="249"/>
        <v>0</v>
      </c>
      <c r="DU53" s="48">
        <f t="shared" si="250"/>
        <v>0</v>
      </c>
      <c r="DV53" s="48">
        <f t="shared" si="251"/>
        <v>0</v>
      </c>
      <c r="DW53" s="48">
        <f t="shared" si="252"/>
        <v>0</v>
      </c>
      <c r="DX53" s="48">
        <f t="shared" si="253"/>
        <v>0</v>
      </c>
      <c r="DY53" s="48">
        <f t="shared" si="254"/>
        <v>0</v>
      </c>
      <c r="DZ53" s="48">
        <f t="shared" si="255"/>
        <v>0</v>
      </c>
      <c r="EA53" s="48">
        <f t="shared" si="256"/>
        <v>0</v>
      </c>
      <c r="EB53" s="48">
        <f t="shared" si="257"/>
        <v>0</v>
      </c>
      <c r="EC53" s="48">
        <f t="shared" si="258"/>
        <v>0</v>
      </c>
      <c r="ED53" s="48">
        <f t="shared" si="259"/>
        <v>0</v>
      </c>
      <c r="EE53" s="48">
        <f t="shared" si="260"/>
        <v>0</v>
      </c>
      <c r="EF53" s="48">
        <f t="shared" si="261"/>
        <v>0</v>
      </c>
      <c r="EG53" s="48">
        <f t="shared" si="262"/>
        <v>0</v>
      </c>
      <c r="EH53" s="48">
        <f t="shared" si="263"/>
        <v>0</v>
      </c>
      <c r="EI53" s="48">
        <f t="shared" si="264"/>
        <v>0</v>
      </c>
      <c r="EJ53" s="48">
        <f t="shared" si="265"/>
        <v>0</v>
      </c>
      <c r="EK53" s="48">
        <f t="shared" si="266"/>
        <v>0</v>
      </c>
      <c r="EL53" s="48">
        <f t="shared" si="267"/>
        <v>0</v>
      </c>
      <c r="EM53" s="48">
        <f t="shared" si="268"/>
        <v>0</v>
      </c>
      <c r="EN53" s="48">
        <f t="shared" si="269"/>
        <v>0</v>
      </c>
      <c r="EO53" s="48">
        <f t="shared" si="270"/>
        <v>0</v>
      </c>
      <c r="EP53" s="48">
        <f t="shared" si="271"/>
        <v>0</v>
      </c>
      <c r="EQ53" s="48">
        <f t="shared" si="272"/>
        <v>0</v>
      </c>
      <c r="ER53" s="48">
        <f t="shared" si="273"/>
        <v>0</v>
      </c>
      <c r="ES53" s="48">
        <f t="shared" si="274"/>
        <v>0</v>
      </c>
      <c r="ET53" s="48">
        <f t="shared" si="275"/>
        <v>0</v>
      </c>
      <c r="EU53" s="48">
        <f t="shared" si="276"/>
        <v>0</v>
      </c>
      <c r="EV53" s="48">
        <f t="shared" si="277"/>
        <v>0</v>
      </c>
      <c r="EW53" s="48">
        <f t="shared" si="278"/>
        <v>0</v>
      </c>
      <c r="EX53" s="48">
        <f t="shared" si="279"/>
        <v>0</v>
      </c>
      <c r="EY53" s="48">
        <f t="shared" si="280"/>
        <v>0</v>
      </c>
      <c r="EZ53" s="48">
        <f t="shared" si="281"/>
        <v>0</v>
      </c>
      <c r="FA53" s="48">
        <f t="shared" si="282"/>
        <v>0</v>
      </c>
      <c r="FB53" s="48">
        <f t="shared" si="283"/>
        <v>0</v>
      </c>
      <c r="FC53" s="48">
        <f t="shared" si="284"/>
        <v>0</v>
      </c>
      <c r="FD53" s="48">
        <f t="shared" si="285"/>
        <v>0</v>
      </c>
      <c r="FE53" s="48">
        <f t="shared" si="286"/>
        <v>0</v>
      </c>
      <c r="FF53" s="48">
        <f t="shared" si="287"/>
        <v>0</v>
      </c>
      <c r="FG53" s="48">
        <f t="shared" si="288"/>
        <v>0</v>
      </c>
      <c r="FH53" s="48">
        <f t="shared" si="289"/>
        <v>0</v>
      </c>
      <c r="FI53" s="48">
        <f t="shared" si="290"/>
        <v>0</v>
      </c>
      <c r="FJ53" s="48">
        <f t="shared" si="291"/>
        <v>0</v>
      </c>
      <c r="FK53" s="48">
        <f t="shared" si="292"/>
        <v>0</v>
      </c>
      <c r="FL53" s="48">
        <f t="shared" si="293"/>
        <v>0</v>
      </c>
      <c r="FM53" s="48">
        <f t="shared" si="294"/>
        <v>0</v>
      </c>
      <c r="FN53" s="48">
        <f t="shared" si="295"/>
        <v>0</v>
      </c>
      <c r="FO53" s="48">
        <f t="shared" si="296"/>
        <v>0</v>
      </c>
      <c r="FP53" s="48">
        <f t="shared" si="297"/>
        <v>0</v>
      </c>
      <c r="FQ53" s="48">
        <f t="shared" si="298"/>
        <v>0</v>
      </c>
      <c r="FR53" s="48">
        <f t="shared" si="299"/>
        <v>0</v>
      </c>
      <c r="FS53" s="48">
        <f t="shared" si="300"/>
        <v>0</v>
      </c>
      <c r="FT53" s="48">
        <f t="shared" si="301"/>
        <v>0</v>
      </c>
      <c r="FU53" s="48">
        <f t="shared" si="302"/>
        <v>0</v>
      </c>
      <c r="FV53" s="48">
        <f t="shared" si="303"/>
        <v>0</v>
      </c>
      <c r="FW53" s="48">
        <f t="shared" si="304"/>
        <v>0</v>
      </c>
      <c r="FX53" s="48">
        <f t="shared" si="305"/>
        <v>0</v>
      </c>
      <c r="FY53" s="48">
        <f t="shared" si="306"/>
        <v>0</v>
      </c>
      <c r="FZ53" s="48">
        <f t="shared" si="307"/>
        <v>0</v>
      </c>
      <c r="GA53" s="48">
        <f t="shared" si="308"/>
        <v>0</v>
      </c>
      <c r="GB53" s="48">
        <f t="shared" si="309"/>
        <v>0</v>
      </c>
      <c r="GC53" s="48">
        <f t="shared" si="310"/>
        <v>0</v>
      </c>
      <c r="GG53">
        <f t="shared" si="311"/>
        <v>0</v>
      </c>
    </row>
    <row r="54" spans="1:189" x14ac:dyDescent="0.25">
      <c r="A54" s="690"/>
      <c r="B54" s="690"/>
      <c r="C54" s="690"/>
      <c r="D54" s="690"/>
      <c r="E54" s="690"/>
      <c r="F54" s="690"/>
      <c r="G54" s="889"/>
      <c r="H54" s="690"/>
      <c r="I54" s="690"/>
      <c r="J54" s="690"/>
      <c r="K54" s="690"/>
      <c r="L54" s="690"/>
      <c r="M54" s="690"/>
      <c r="N54" s="507" t="str">
        <f t="shared" si="159"/>
        <v/>
      </c>
      <c r="O54" s="690"/>
      <c r="P54" s="507" t="str">
        <f t="shared" si="158"/>
        <v/>
      </c>
      <c r="Q54" s="690"/>
      <c r="R54" s="690"/>
      <c r="S54" s="690"/>
      <c r="T54" s="690"/>
      <c r="U54">
        <f t="shared" si="312"/>
        <v>0</v>
      </c>
      <c r="V54">
        <f t="shared" si="313"/>
        <v>0</v>
      </c>
      <c r="X54">
        <f t="shared" si="314"/>
        <v>0</v>
      </c>
      <c r="Y54">
        <f t="shared" si="315"/>
        <v>0</v>
      </c>
      <c r="Z54">
        <f t="shared" si="316"/>
        <v>0</v>
      </c>
      <c r="AA54">
        <f t="shared" si="317"/>
        <v>0</v>
      </c>
      <c r="AB54" s="25"/>
      <c r="AC54" s="25"/>
      <c r="AD54" s="25"/>
      <c r="AF54" s="48" t="s">
        <v>709</v>
      </c>
      <c r="AG54" s="689"/>
      <c r="AH54" s="689"/>
      <c r="AI54" s="48">
        <f t="shared" si="160"/>
        <v>0</v>
      </c>
      <c r="AJ54" s="48">
        <f t="shared" si="161"/>
        <v>0</v>
      </c>
      <c r="AK54" s="48">
        <f t="shared" si="162"/>
        <v>0</v>
      </c>
      <c r="AL54" s="48">
        <f t="shared" si="163"/>
        <v>0</v>
      </c>
      <c r="AM54" s="48">
        <f t="shared" si="164"/>
        <v>0</v>
      </c>
      <c r="AN54" s="48">
        <f t="shared" si="165"/>
        <v>0</v>
      </c>
      <c r="AO54" s="48">
        <f t="shared" si="166"/>
        <v>0</v>
      </c>
      <c r="AP54" s="48">
        <f t="shared" si="167"/>
        <v>0</v>
      </c>
      <c r="AQ54" s="48">
        <f t="shared" si="168"/>
        <v>0</v>
      </c>
      <c r="AR54" s="48">
        <f t="shared" si="169"/>
        <v>0</v>
      </c>
      <c r="AS54" s="48">
        <f t="shared" si="170"/>
        <v>0</v>
      </c>
      <c r="AT54" s="48">
        <f t="shared" si="171"/>
        <v>0</v>
      </c>
      <c r="AU54" s="48">
        <f t="shared" si="172"/>
        <v>0</v>
      </c>
      <c r="AV54" s="48">
        <f t="shared" si="173"/>
        <v>0</v>
      </c>
      <c r="AW54" s="48">
        <f t="shared" si="174"/>
        <v>0</v>
      </c>
      <c r="AX54" s="48">
        <f t="shared" si="175"/>
        <v>0</v>
      </c>
      <c r="AY54" s="48">
        <f t="shared" si="176"/>
        <v>0</v>
      </c>
      <c r="AZ54" s="48">
        <f t="shared" si="177"/>
        <v>0</v>
      </c>
      <c r="BA54" s="48">
        <f t="shared" si="178"/>
        <v>0</v>
      </c>
      <c r="BB54" s="48">
        <f t="shared" si="179"/>
        <v>0</v>
      </c>
      <c r="BC54" s="48">
        <f t="shared" si="180"/>
        <v>0</v>
      </c>
      <c r="BD54" s="48">
        <f t="shared" si="181"/>
        <v>0</v>
      </c>
      <c r="BE54" s="48">
        <f t="shared" si="182"/>
        <v>0</v>
      </c>
      <c r="BF54" s="48">
        <f t="shared" si="183"/>
        <v>0</v>
      </c>
      <c r="BG54" s="48">
        <f t="shared" si="184"/>
        <v>0</v>
      </c>
      <c r="BH54" s="48">
        <f t="shared" si="185"/>
        <v>0</v>
      </c>
      <c r="BI54" s="48">
        <f t="shared" si="186"/>
        <v>0</v>
      </c>
      <c r="BJ54" s="48">
        <f t="shared" si="187"/>
        <v>0</v>
      </c>
      <c r="BK54" s="48">
        <f t="shared" si="188"/>
        <v>0</v>
      </c>
      <c r="BL54" s="48">
        <f t="shared" si="189"/>
        <v>0</v>
      </c>
      <c r="BM54" s="48">
        <f t="shared" si="190"/>
        <v>0</v>
      </c>
      <c r="BN54" s="48">
        <f t="shared" si="191"/>
        <v>0</v>
      </c>
      <c r="BO54" s="48">
        <f t="shared" si="192"/>
        <v>0</v>
      </c>
      <c r="BP54" s="48">
        <f t="shared" si="193"/>
        <v>0</v>
      </c>
      <c r="BQ54" s="48">
        <f t="shared" si="194"/>
        <v>0</v>
      </c>
      <c r="BR54" s="48">
        <f t="shared" si="195"/>
        <v>0</v>
      </c>
      <c r="BS54" s="48">
        <f t="shared" si="196"/>
        <v>0</v>
      </c>
      <c r="BT54" s="48">
        <f t="shared" si="197"/>
        <v>0</v>
      </c>
      <c r="BU54" s="48">
        <f t="shared" si="198"/>
        <v>0</v>
      </c>
      <c r="BV54" s="48">
        <f t="shared" si="199"/>
        <v>0</v>
      </c>
      <c r="BW54" s="48">
        <f t="shared" si="200"/>
        <v>0</v>
      </c>
      <c r="BX54" s="48">
        <f t="shared" si="201"/>
        <v>0</v>
      </c>
      <c r="BY54" s="48">
        <f t="shared" si="202"/>
        <v>0</v>
      </c>
      <c r="BZ54" s="48">
        <f t="shared" si="203"/>
        <v>0</v>
      </c>
      <c r="CA54" s="48">
        <f t="shared" si="204"/>
        <v>0</v>
      </c>
      <c r="CB54" s="48">
        <f t="shared" si="205"/>
        <v>0</v>
      </c>
      <c r="CC54" s="48">
        <f t="shared" si="206"/>
        <v>0</v>
      </c>
      <c r="CD54" s="48">
        <f t="shared" si="207"/>
        <v>0</v>
      </c>
      <c r="CE54" s="48">
        <f t="shared" si="208"/>
        <v>0</v>
      </c>
      <c r="CF54" s="48">
        <f t="shared" si="209"/>
        <v>0</v>
      </c>
      <c r="CG54" s="48">
        <f t="shared" si="210"/>
        <v>0</v>
      </c>
      <c r="CH54" s="48">
        <f t="shared" si="211"/>
        <v>0</v>
      </c>
      <c r="CI54" s="48">
        <f t="shared" si="212"/>
        <v>0</v>
      </c>
      <c r="CJ54" s="48">
        <f t="shared" si="213"/>
        <v>0</v>
      </c>
      <c r="CK54" s="48">
        <f t="shared" si="214"/>
        <v>0</v>
      </c>
      <c r="CL54" s="48">
        <f t="shared" si="215"/>
        <v>0</v>
      </c>
      <c r="CM54" s="48">
        <f t="shared" si="216"/>
        <v>0</v>
      </c>
      <c r="CN54" s="48">
        <f t="shared" si="217"/>
        <v>0</v>
      </c>
      <c r="CO54" s="48">
        <f t="shared" si="218"/>
        <v>0</v>
      </c>
      <c r="CP54" s="48">
        <f t="shared" si="219"/>
        <v>0</v>
      </c>
      <c r="CQ54" s="48">
        <f t="shared" si="220"/>
        <v>0</v>
      </c>
      <c r="CR54" s="48">
        <f t="shared" si="221"/>
        <v>0</v>
      </c>
      <c r="CS54" s="48">
        <f t="shared" si="222"/>
        <v>0</v>
      </c>
      <c r="CT54" s="48">
        <f t="shared" si="223"/>
        <v>0</v>
      </c>
      <c r="CU54" s="48">
        <f t="shared" si="224"/>
        <v>0</v>
      </c>
      <c r="CV54" s="48">
        <f t="shared" si="225"/>
        <v>0</v>
      </c>
      <c r="CW54" s="48">
        <f t="shared" si="226"/>
        <v>0</v>
      </c>
      <c r="CX54" s="48">
        <f t="shared" si="227"/>
        <v>0</v>
      </c>
      <c r="CY54" s="48">
        <f t="shared" si="228"/>
        <v>0</v>
      </c>
      <c r="CZ54" s="48">
        <f t="shared" si="229"/>
        <v>0</v>
      </c>
      <c r="DA54" s="48">
        <f t="shared" si="230"/>
        <v>0</v>
      </c>
      <c r="DB54" s="48">
        <f t="shared" si="231"/>
        <v>0</v>
      </c>
      <c r="DC54" s="48">
        <f t="shared" si="232"/>
        <v>0</v>
      </c>
      <c r="DD54" s="48">
        <f t="shared" si="233"/>
        <v>0</v>
      </c>
      <c r="DE54" s="48">
        <f t="shared" si="234"/>
        <v>0</v>
      </c>
      <c r="DF54" s="48">
        <f t="shared" si="235"/>
        <v>0</v>
      </c>
      <c r="DG54" s="48">
        <f t="shared" si="236"/>
        <v>0</v>
      </c>
      <c r="DH54" s="48">
        <f t="shared" si="237"/>
        <v>0</v>
      </c>
      <c r="DI54" s="48">
        <f t="shared" si="238"/>
        <v>0</v>
      </c>
      <c r="DJ54" s="48">
        <f t="shared" si="239"/>
        <v>0</v>
      </c>
      <c r="DK54" s="48">
        <f t="shared" si="240"/>
        <v>0</v>
      </c>
      <c r="DL54" s="48">
        <f t="shared" si="241"/>
        <v>0</v>
      </c>
      <c r="DM54" s="48">
        <f t="shared" si="242"/>
        <v>0</v>
      </c>
      <c r="DN54" s="48">
        <f t="shared" si="243"/>
        <v>0</v>
      </c>
      <c r="DO54" s="48">
        <f t="shared" si="244"/>
        <v>0</v>
      </c>
      <c r="DP54" s="48">
        <f t="shared" si="245"/>
        <v>0</v>
      </c>
      <c r="DQ54" s="48">
        <f t="shared" si="246"/>
        <v>0</v>
      </c>
      <c r="DR54" s="48">
        <f t="shared" si="247"/>
        <v>0</v>
      </c>
      <c r="DS54" s="48">
        <f t="shared" si="248"/>
        <v>0</v>
      </c>
      <c r="DT54" s="48">
        <f t="shared" si="249"/>
        <v>0</v>
      </c>
      <c r="DU54" s="48">
        <f t="shared" si="250"/>
        <v>0</v>
      </c>
      <c r="DV54" s="48">
        <f t="shared" si="251"/>
        <v>0</v>
      </c>
      <c r="DW54" s="48">
        <f t="shared" si="252"/>
        <v>0</v>
      </c>
      <c r="DX54" s="48">
        <f t="shared" si="253"/>
        <v>0</v>
      </c>
      <c r="DY54" s="48">
        <f t="shared" si="254"/>
        <v>0</v>
      </c>
      <c r="DZ54" s="48">
        <f t="shared" si="255"/>
        <v>0</v>
      </c>
      <c r="EA54" s="48">
        <f t="shared" si="256"/>
        <v>0</v>
      </c>
      <c r="EB54" s="48">
        <f t="shared" si="257"/>
        <v>0</v>
      </c>
      <c r="EC54" s="48">
        <f t="shared" si="258"/>
        <v>0</v>
      </c>
      <c r="ED54" s="48">
        <f t="shared" si="259"/>
        <v>0</v>
      </c>
      <c r="EE54" s="48">
        <f t="shared" si="260"/>
        <v>0</v>
      </c>
      <c r="EF54" s="48">
        <f t="shared" si="261"/>
        <v>0</v>
      </c>
      <c r="EG54" s="48">
        <f t="shared" si="262"/>
        <v>0</v>
      </c>
      <c r="EH54" s="48">
        <f t="shared" si="263"/>
        <v>0</v>
      </c>
      <c r="EI54" s="48">
        <f t="shared" si="264"/>
        <v>0</v>
      </c>
      <c r="EJ54" s="48">
        <f t="shared" si="265"/>
        <v>0</v>
      </c>
      <c r="EK54" s="48">
        <f t="shared" si="266"/>
        <v>0</v>
      </c>
      <c r="EL54" s="48">
        <f t="shared" si="267"/>
        <v>0</v>
      </c>
      <c r="EM54" s="48">
        <f t="shared" si="268"/>
        <v>0</v>
      </c>
      <c r="EN54" s="48">
        <f t="shared" si="269"/>
        <v>0</v>
      </c>
      <c r="EO54" s="48">
        <f t="shared" si="270"/>
        <v>0</v>
      </c>
      <c r="EP54" s="48">
        <f t="shared" si="271"/>
        <v>0</v>
      </c>
      <c r="EQ54" s="48">
        <f t="shared" si="272"/>
        <v>0</v>
      </c>
      <c r="ER54" s="48">
        <f t="shared" si="273"/>
        <v>0</v>
      </c>
      <c r="ES54" s="48">
        <f t="shared" si="274"/>
        <v>0</v>
      </c>
      <c r="ET54" s="48">
        <f t="shared" si="275"/>
        <v>0</v>
      </c>
      <c r="EU54" s="48">
        <f t="shared" si="276"/>
        <v>0</v>
      </c>
      <c r="EV54" s="48">
        <f t="shared" si="277"/>
        <v>0</v>
      </c>
      <c r="EW54" s="48">
        <f t="shared" si="278"/>
        <v>0</v>
      </c>
      <c r="EX54" s="48">
        <f t="shared" si="279"/>
        <v>0</v>
      </c>
      <c r="EY54" s="48">
        <f t="shared" si="280"/>
        <v>0</v>
      </c>
      <c r="EZ54" s="48">
        <f t="shared" si="281"/>
        <v>0</v>
      </c>
      <c r="FA54" s="48">
        <f t="shared" si="282"/>
        <v>0</v>
      </c>
      <c r="FB54" s="48">
        <f t="shared" si="283"/>
        <v>0</v>
      </c>
      <c r="FC54" s="48">
        <f t="shared" si="284"/>
        <v>0</v>
      </c>
      <c r="FD54" s="48">
        <f t="shared" si="285"/>
        <v>0</v>
      </c>
      <c r="FE54" s="48">
        <f t="shared" si="286"/>
        <v>0</v>
      </c>
      <c r="FF54" s="48">
        <f t="shared" si="287"/>
        <v>0</v>
      </c>
      <c r="FG54" s="48">
        <f t="shared" si="288"/>
        <v>0</v>
      </c>
      <c r="FH54" s="48">
        <f t="shared" si="289"/>
        <v>0</v>
      </c>
      <c r="FI54" s="48">
        <f t="shared" si="290"/>
        <v>0</v>
      </c>
      <c r="FJ54" s="48">
        <f t="shared" si="291"/>
        <v>0</v>
      </c>
      <c r="FK54" s="48">
        <f t="shared" si="292"/>
        <v>0</v>
      </c>
      <c r="FL54" s="48">
        <f t="shared" si="293"/>
        <v>0</v>
      </c>
      <c r="FM54" s="48">
        <f t="shared" si="294"/>
        <v>0</v>
      </c>
      <c r="FN54" s="48">
        <f t="shared" si="295"/>
        <v>0</v>
      </c>
      <c r="FO54" s="48">
        <f t="shared" si="296"/>
        <v>0</v>
      </c>
      <c r="FP54" s="48">
        <f t="shared" si="297"/>
        <v>0</v>
      </c>
      <c r="FQ54" s="48">
        <f t="shared" si="298"/>
        <v>0</v>
      </c>
      <c r="FR54" s="48">
        <f t="shared" si="299"/>
        <v>0</v>
      </c>
      <c r="FS54" s="48">
        <f t="shared" si="300"/>
        <v>0</v>
      </c>
      <c r="FT54" s="48">
        <f t="shared" si="301"/>
        <v>0</v>
      </c>
      <c r="FU54" s="48">
        <f t="shared" si="302"/>
        <v>0</v>
      </c>
      <c r="FV54" s="48">
        <f t="shared" si="303"/>
        <v>0</v>
      </c>
      <c r="FW54" s="48">
        <f t="shared" si="304"/>
        <v>0</v>
      </c>
      <c r="FX54" s="48">
        <f t="shared" si="305"/>
        <v>0</v>
      </c>
      <c r="FY54" s="48">
        <f t="shared" si="306"/>
        <v>0</v>
      </c>
      <c r="FZ54" s="48">
        <f t="shared" si="307"/>
        <v>0</v>
      </c>
      <c r="GA54" s="48">
        <f t="shared" si="308"/>
        <v>0</v>
      </c>
      <c r="GB54" s="48">
        <f t="shared" si="309"/>
        <v>0</v>
      </c>
      <c r="GC54" s="48">
        <f t="shared" si="310"/>
        <v>0</v>
      </c>
      <c r="GG54">
        <f t="shared" si="311"/>
        <v>0</v>
      </c>
    </row>
    <row r="55" spans="1:189" x14ac:dyDescent="0.25">
      <c r="A55" s="690"/>
      <c r="B55" s="690"/>
      <c r="C55" s="690"/>
      <c r="D55" s="690"/>
      <c r="E55" s="690"/>
      <c r="F55" s="690"/>
      <c r="G55" s="889"/>
      <c r="H55" s="690"/>
      <c r="I55" s="690"/>
      <c r="J55" s="690"/>
      <c r="K55" s="690"/>
      <c r="L55" s="690"/>
      <c r="M55" s="690"/>
      <c r="N55" s="507" t="str">
        <f t="shared" si="159"/>
        <v/>
      </c>
      <c r="O55" s="690"/>
      <c r="P55" s="507" t="str">
        <f t="shared" si="158"/>
        <v/>
      </c>
      <c r="Q55" s="690"/>
      <c r="R55" s="690"/>
      <c r="S55" s="690"/>
      <c r="T55" s="690"/>
      <c r="U55">
        <f t="shared" si="312"/>
        <v>0</v>
      </c>
      <c r="V55">
        <f t="shared" si="313"/>
        <v>0</v>
      </c>
      <c r="X55">
        <f t="shared" si="314"/>
        <v>0</v>
      </c>
      <c r="Y55">
        <f t="shared" si="315"/>
        <v>0</v>
      </c>
      <c r="Z55">
        <f t="shared" si="316"/>
        <v>0</v>
      </c>
      <c r="AA55">
        <f t="shared" si="317"/>
        <v>0</v>
      </c>
      <c r="AB55" s="25"/>
      <c r="AC55" s="25"/>
      <c r="AD55" s="25"/>
      <c r="AF55" s="48" t="s">
        <v>710</v>
      </c>
      <c r="AG55" s="689"/>
      <c r="AH55" s="689"/>
      <c r="AI55" s="48">
        <f t="shared" si="160"/>
        <v>0</v>
      </c>
      <c r="AJ55" s="48">
        <f t="shared" si="161"/>
        <v>0</v>
      </c>
      <c r="AK55" s="48">
        <f t="shared" si="162"/>
        <v>0</v>
      </c>
      <c r="AL55" s="48">
        <f t="shared" si="163"/>
        <v>0</v>
      </c>
      <c r="AM55" s="48">
        <f t="shared" si="164"/>
        <v>0</v>
      </c>
      <c r="AN55" s="48">
        <f t="shared" si="165"/>
        <v>0</v>
      </c>
      <c r="AO55" s="48">
        <f t="shared" si="166"/>
        <v>0</v>
      </c>
      <c r="AP55" s="48">
        <f t="shared" si="167"/>
        <v>0</v>
      </c>
      <c r="AQ55" s="48">
        <f t="shared" si="168"/>
        <v>0</v>
      </c>
      <c r="AR55" s="48">
        <f t="shared" si="169"/>
        <v>0</v>
      </c>
      <c r="AS55" s="48">
        <f t="shared" si="170"/>
        <v>0</v>
      </c>
      <c r="AT55" s="48">
        <f t="shared" si="171"/>
        <v>0</v>
      </c>
      <c r="AU55" s="48">
        <f t="shared" si="172"/>
        <v>0</v>
      </c>
      <c r="AV55" s="48">
        <f t="shared" si="173"/>
        <v>0</v>
      </c>
      <c r="AW55" s="48">
        <f t="shared" si="174"/>
        <v>0</v>
      </c>
      <c r="AX55" s="48">
        <f t="shared" si="175"/>
        <v>0</v>
      </c>
      <c r="AY55" s="48">
        <f t="shared" si="176"/>
        <v>0</v>
      </c>
      <c r="AZ55" s="48">
        <f t="shared" si="177"/>
        <v>0</v>
      </c>
      <c r="BA55" s="48">
        <f t="shared" si="178"/>
        <v>0</v>
      </c>
      <c r="BB55" s="48">
        <f t="shared" si="179"/>
        <v>0</v>
      </c>
      <c r="BC55" s="48">
        <f t="shared" si="180"/>
        <v>0</v>
      </c>
      <c r="BD55" s="48">
        <f t="shared" si="181"/>
        <v>0</v>
      </c>
      <c r="BE55" s="48">
        <f t="shared" si="182"/>
        <v>0</v>
      </c>
      <c r="BF55" s="48">
        <f t="shared" si="183"/>
        <v>0</v>
      </c>
      <c r="BG55" s="48">
        <f t="shared" si="184"/>
        <v>0</v>
      </c>
      <c r="BH55" s="48">
        <f t="shared" si="185"/>
        <v>0</v>
      </c>
      <c r="BI55" s="48">
        <f t="shared" si="186"/>
        <v>0</v>
      </c>
      <c r="BJ55" s="48">
        <f t="shared" si="187"/>
        <v>0</v>
      </c>
      <c r="BK55" s="48">
        <f t="shared" si="188"/>
        <v>0</v>
      </c>
      <c r="BL55" s="48">
        <f t="shared" si="189"/>
        <v>0</v>
      </c>
      <c r="BM55" s="48">
        <f t="shared" si="190"/>
        <v>0</v>
      </c>
      <c r="BN55" s="48">
        <f t="shared" si="191"/>
        <v>0</v>
      </c>
      <c r="BO55" s="48">
        <f t="shared" si="192"/>
        <v>0</v>
      </c>
      <c r="BP55" s="48">
        <f t="shared" si="193"/>
        <v>0</v>
      </c>
      <c r="BQ55" s="48">
        <f t="shared" si="194"/>
        <v>0</v>
      </c>
      <c r="BR55" s="48">
        <f t="shared" si="195"/>
        <v>0</v>
      </c>
      <c r="BS55" s="48">
        <f t="shared" si="196"/>
        <v>0</v>
      </c>
      <c r="BT55" s="48">
        <f t="shared" si="197"/>
        <v>0</v>
      </c>
      <c r="BU55" s="48">
        <f t="shared" si="198"/>
        <v>0</v>
      </c>
      <c r="BV55" s="48">
        <f t="shared" si="199"/>
        <v>0</v>
      </c>
      <c r="BW55" s="48">
        <f t="shared" si="200"/>
        <v>0</v>
      </c>
      <c r="BX55" s="48">
        <f t="shared" si="201"/>
        <v>0</v>
      </c>
      <c r="BY55" s="48">
        <f t="shared" si="202"/>
        <v>0</v>
      </c>
      <c r="BZ55" s="48">
        <f t="shared" si="203"/>
        <v>0</v>
      </c>
      <c r="CA55" s="48">
        <f t="shared" si="204"/>
        <v>0</v>
      </c>
      <c r="CB55" s="48">
        <f t="shared" si="205"/>
        <v>0</v>
      </c>
      <c r="CC55" s="48">
        <f t="shared" si="206"/>
        <v>0</v>
      </c>
      <c r="CD55" s="48">
        <f t="shared" si="207"/>
        <v>0</v>
      </c>
      <c r="CE55" s="48">
        <f t="shared" si="208"/>
        <v>0</v>
      </c>
      <c r="CF55" s="48">
        <f t="shared" si="209"/>
        <v>0</v>
      </c>
      <c r="CG55" s="48">
        <f t="shared" si="210"/>
        <v>0</v>
      </c>
      <c r="CH55" s="48">
        <f t="shared" si="211"/>
        <v>0</v>
      </c>
      <c r="CI55" s="48">
        <f t="shared" si="212"/>
        <v>0</v>
      </c>
      <c r="CJ55" s="48">
        <f t="shared" si="213"/>
        <v>0</v>
      </c>
      <c r="CK55" s="48">
        <f t="shared" si="214"/>
        <v>0</v>
      </c>
      <c r="CL55" s="48">
        <f t="shared" si="215"/>
        <v>0</v>
      </c>
      <c r="CM55" s="48">
        <f t="shared" si="216"/>
        <v>0</v>
      </c>
      <c r="CN55" s="48">
        <f t="shared" si="217"/>
        <v>0</v>
      </c>
      <c r="CO55" s="48">
        <f t="shared" si="218"/>
        <v>0</v>
      </c>
      <c r="CP55" s="48">
        <f t="shared" si="219"/>
        <v>0</v>
      </c>
      <c r="CQ55" s="48">
        <f t="shared" si="220"/>
        <v>0</v>
      </c>
      <c r="CR55" s="48">
        <f t="shared" si="221"/>
        <v>0</v>
      </c>
      <c r="CS55" s="48">
        <f t="shared" si="222"/>
        <v>0</v>
      </c>
      <c r="CT55" s="48">
        <f t="shared" si="223"/>
        <v>0</v>
      </c>
      <c r="CU55" s="48">
        <f t="shared" si="224"/>
        <v>0</v>
      </c>
      <c r="CV55" s="48">
        <f t="shared" si="225"/>
        <v>0</v>
      </c>
      <c r="CW55" s="48">
        <f t="shared" si="226"/>
        <v>0</v>
      </c>
      <c r="CX55" s="48">
        <f t="shared" si="227"/>
        <v>0</v>
      </c>
      <c r="CY55" s="48">
        <f t="shared" si="228"/>
        <v>0</v>
      </c>
      <c r="CZ55" s="48">
        <f t="shared" si="229"/>
        <v>0</v>
      </c>
      <c r="DA55" s="48">
        <f t="shared" si="230"/>
        <v>0</v>
      </c>
      <c r="DB55" s="48">
        <f t="shared" si="231"/>
        <v>0</v>
      </c>
      <c r="DC55" s="48">
        <f t="shared" si="232"/>
        <v>0</v>
      </c>
      <c r="DD55" s="48">
        <f t="shared" si="233"/>
        <v>0</v>
      </c>
      <c r="DE55" s="48">
        <f t="shared" si="234"/>
        <v>0</v>
      </c>
      <c r="DF55" s="48">
        <f t="shared" si="235"/>
        <v>0</v>
      </c>
      <c r="DG55" s="48">
        <f t="shared" si="236"/>
        <v>0</v>
      </c>
      <c r="DH55" s="48">
        <f t="shared" si="237"/>
        <v>0</v>
      </c>
      <c r="DI55" s="48">
        <f t="shared" si="238"/>
        <v>0</v>
      </c>
      <c r="DJ55" s="48">
        <f t="shared" si="239"/>
        <v>0</v>
      </c>
      <c r="DK55" s="48">
        <f t="shared" si="240"/>
        <v>0</v>
      </c>
      <c r="DL55" s="48">
        <f t="shared" si="241"/>
        <v>0</v>
      </c>
      <c r="DM55" s="48">
        <f t="shared" si="242"/>
        <v>0</v>
      </c>
      <c r="DN55" s="48">
        <f t="shared" si="243"/>
        <v>0</v>
      </c>
      <c r="DO55" s="48">
        <f t="shared" si="244"/>
        <v>0</v>
      </c>
      <c r="DP55" s="48">
        <f t="shared" si="245"/>
        <v>0</v>
      </c>
      <c r="DQ55" s="48">
        <f t="shared" si="246"/>
        <v>0</v>
      </c>
      <c r="DR55" s="48">
        <f t="shared" si="247"/>
        <v>0</v>
      </c>
      <c r="DS55" s="48">
        <f t="shared" si="248"/>
        <v>0</v>
      </c>
      <c r="DT55" s="48">
        <f t="shared" si="249"/>
        <v>0</v>
      </c>
      <c r="DU55" s="48">
        <f t="shared" si="250"/>
        <v>0</v>
      </c>
      <c r="DV55" s="48">
        <f t="shared" si="251"/>
        <v>0</v>
      </c>
      <c r="DW55" s="48">
        <f t="shared" si="252"/>
        <v>0</v>
      </c>
      <c r="DX55" s="48">
        <f t="shared" si="253"/>
        <v>0</v>
      </c>
      <c r="DY55" s="48">
        <f t="shared" si="254"/>
        <v>0</v>
      </c>
      <c r="DZ55" s="48">
        <f t="shared" si="255"/>
        <v>0</v>
      </c>
      <c r="EA55" s="48">
        <f t="shared" si="256"/>
        <v>0</v>
      </c>
      <c r="EB55" s="48">
        <f t="shared" si="257"/>
        <v>0</v>
      </c>
      <c r="EC55" s="48">
        <f t="shared" si="258"/>
        <v>0</v>
      </c>
      <c r="ED55" s="48">
        <f t="shared" si="259"/>
        <v>0</v>
      </c>
      <c r="EE55" s="48">
        <f t="shared" si="260"/>
        <v>0</v>
      </c>
      <c r="EF55" s="48">
        <f t="shared" si="261"/>
        <v>0</v>
      </c>
      <c r="EG55" s="48">
        <f t="shared" si="262"/>
        <v>0</v>
      </c>
      <c r="EH55" s="48">
        <f t="shared" si="263"/>
        <v>0</v>
      </c>
      <c r="EI55" s="48">
        <f t="shared" si="264"/>
        <v>0</v>
      </c>
      <c r="EJ55" s="48">
        <f t="shared" si="265"/>
        <v>0</v>
      </c>
      <c r="EK55" s="48">
        <f t="shared" si="266"/>
        <v>0</v>
      </c>
      <c r="EL55" s="48">
        <f t="shared" si="267"/>
        <v>0</v>
      </c>
      <c r="EM55" s="48">
        <f t="shared" si="268"/>
        <v>0</v>
      </c>
      <c r="EN55" s="48">
        <f t="shared" si="269"/>
        <v>0</v>
      </c>
      <c r="EO55" s="48">
        <f t="shared" si="270"/>
        <v>0</v>
      </c>
      <c r="EP55" s="48">
        <f t="shared" si="271"/>
        <v>0</v>
      </c>
      <c r="EQ55" s="48">
        <f t="shared" si="272"/>
        <v>0</v>
      </c>
      <c r="ER55" s="48">
        <f t="shared" si="273"/>
        <v>0</v>
      </c>
      <c r="ES55" s="48">
        <f t="shared" si="274"/>
        <v>0</v>
      </c>
      <c r="ET55" s="48">
        <f t="shared" si="275"/>
        <v>0</v>
      </c>
      <c r="EU55" s="48">
        <f t="shared" si="276"/>
        <v>0</v>
      </c>
      <c r="EV55" s="48">
        <f t="shared" si="277"/>
        <v>0</v>
      </c>
      <c r="EW55" s="48">
        <f t="shared" si="278"/>
        <v>0</v>
      </c>
      <c r="EX55" s="48">
        <f t="shared" si="279"/>
        <v>0</v>
      </c>
      <c r="EY55" s="48">
        <f t="shared" si="280"/>
        <v>0</v>
      </c>
      <c r="EZ55" s="48">
        <f t="shared" si="281"/>
        <v>0</v>
      </c>
      <c r="FA55" s="48">
        <f t="shared" si="282"/>
        <v>0</v>
      </c>
      <c r="FB55" s="48">
        <f t="shared" si="283"/>
        <v>0</v>
      </c>
      <c r="FC55" s="48">
        <f t="shared" si="284"/>
        <v>0</v>
      </c>
      <c r="FD55" s="48">
        <f t="shared" si="285"/>
        <v>0</v>
      </c>
      <c r="FE55" s="48">
        <f t="shared" si="286"/>
        <v>0</v>
      </c>
      <c r="FF55" s="48">
        <f t="shared" si="287"/>
        <v>0</v>
      </c>
      <c r="FG55" s="48">
        <f t="shared" si="288"/>
        <v>0</v>
      </c>
      <c r="FH55" s="48">
        <f t="shared" si="289"/>
        <v>0</v>
      </c>
      <c r="FI55" s="48">
        <f t="shared" si="290"/>
        <v>0</v>
      </c>
      <c r="FJ55" s="48">
        <f t="shared" si="291"/>
        <v>0</v>
      </c>
      <c r="FK55" s="48">
        <f t="shared" si="292"/>
        <v>0</v>
      </c>
      <c r="FL55" s="48">
        <f t="shared" si="293"/>
        <v>0</v>
      </c>
      <c r="FM55" s="48">
        <f t="shared" si="294"/>
        <v>0</v>
      </c>
      <c r="FN55" s="48">
        <f t="shared" si="295"/>
        <v>0</v>
      </c>
      <c r="FO55" s="48">
        <f t="shared" si="296"/>
        <v>0</v>
      </c>
      <c r="FP55" s="48">
        <f t="shared" si="297"/>
        <v>0</v>
      </c>
      <c r="FQ55" s="48">
        <f t="shared" si="298"/>
        <v>0</v>
      </c>
      <c r="FR55" s="48">
        <f t="shared" si="299"/>
        <v>0</v>
      </c>
      <c r="FS55" s="48">
        <f t="shared" si="300"/>
        <v>0</v>
      </c>
      <c r="FT55" s="48">
        <f t="shared" si="301"/>
        <v>0</v>
      </c>
      <c r="FU55" s="48">
        <f t="shared" si="302"/>
        <v>0</v>
      </c>
      <c r="FV55" s="48">
        <f t="shared" si="303"/>
        <v>0</v>
      </c>
      <c r="FW55" s="48">
        <f t="shared" si="304"/>
        <v>0</v>
      </c>
      <c r="FX55" s="48">
        <f t="shared" si="305"/>
        <v>0</v>
      </c>
      <c r="FY55" s="48">
        <f t="shared" si="306"/>
        <v>0</v>
      </c>
      <c r="FZ55" s="48">
        <f t="shared" si="307"/>
        <v>0</v>
      </c>
      <c r="GA55" s="48">
        <f t="shared" si="308"/>
        <v>0</v>
      </c>
      <c r="GB55" s="48">
        <f t="shared" si="309"/>
        <v>0</v>
      </c>
      <c r="GC55" s="48">
        <f t="shared" si="310"/>
        <v>0</v>
      </c>
      <c r="GG55">
        <f t="shared" si="311"/>
        <v>0</v>
      </c>
    </row>
    <row r="56" spans="1:189" x14ac:dyDescent="0.25">
      <c r="A56" s="690"/>
      <c r="B56" s="690"/>
      <c r="C56" s="690"/>
      <c r="D56" s="690"/>
      <c r="E56" s="690"/>
      <c r="F56" s="690"/>
      <c r="G56" s="889"/>
      <c r="H56" s="690"/>
      <c r="I56" s="690"/>
      <c r="J56" s="690"/>
      <c r="K56" s="690"/>
      <c r="L56" s="690"/>
      <c r="M56" s="690"/>
      <c r="N56" s="507" t="str">
        <f t="shared" si="159"/>
        <v/>
      </c>
      <c r="O56" s="690"/>
      <c r="P56" s="507" t="str">
        <f t="shared" si="158"/>
        <v/>
      </c>
      <c r="Q56" s="690"/>
      <c r="R56" s="690"/>
      <c r="S56" s="690"/>
      <c r="T56" s="690"/>
      <c r="U56">
        <f t="shared" si="312"/>
        <v>0</v>
      </c>
      <c r="V56">
        <f t="shared" si="313"/>
        <v>0</v>
      </c>
      <c r="X56">
        <f t="shared" si="314"/>
        <v>0</v>
      </c>
      <c r="Y56">
        <f t="shared" si="315"/>
        <v>0</v>
      </c>
      <c r="Z56">
        <f t="shared" si="316"/>
        <v>0</v>
      </c>
      <c r="AA56">
        <f t="shared" si="317"/>
        <v>0</v>
      </c>
      <c r="AB56" s="25"/>
      <c r="AC56" s="25"/>
      <c r="AD56" s="25"/>
      <c r="AF56" s="48" t="s">
        <v>711</v>
      </c>
      <c r="AG56" s="689"/>
      <c r="AH56" s="689"/>
      <c r="AI56" s="48">
        <f t="shared" si="160"/>
        <v>0</v>
      </c>
      <c r="AJ56" s="48">
        <f t="shared" si="161"/>
        <v>0</v>
      </c>
      <c r="AK56" s="48">
        <f t="shared" si="162"/>
        <v>0</v>
      </c>
      <c r="AL56" s="48">
        <f t="shared" si="163"/>
        <v>0</v>
      </c>
      <c r="AM56" s="48">
        <f t="shared" si="164"/>
        <v>0</v>
      </c>
      <c r="AN56" s="48">
        <f t="shared" si="165"/>
        <v>0</v>
      </c>
      <c r="AO56" s="48">
        <f t="shared" si="166"/>
        <v>0</v>
      </c>
      <c r="AP56" s="48">
        <f t="shared" si="167"/>
        <v>0</v>
      </c>
      <c r="AQ56" s="48">
        <f t="shared" si="168"/>
        <v>0</v>
      </c>
      <c r="AR56" s="48">
        <f t="shared" si="169"/>
        <v>0</v>
      </c>
      <c r="AS56" s="48">
        <f t="shared" si="170"/>
        <v>0</v>
      </c>
      <c r="AT56" s="48">
        <f t="shared" si="171"/>
        <v>0</v>
      </c>
      <c r="AU56" s="48">
        <f t="shared" si="172"/>
        <v>0</v>
      </c>
      <c r="AV56" s="48">
        <f t="shared" si="173"/>
        <v>0</v>
      </c>
      <c r="AW56" s="48">
        <f t="shared" si="174"/>
        <v>0</v>
      </c>
      <c r="AX56" s="48">
        <f t="shared" si="175"/>
        <v>0</v>
      </c>
      <c r="AY56" s="48">
        <f t="shared" si="176"/>
        <v>0</v>
      </c>
      <c r="AZ56" s="48">
        <f t="shared" si="177"/>
        <v>0</v>
      </c>
      <c r="BA56" s="48">
        <f t="shared" si="178"/>
        <v>0</v>
      </c>
      <c r="BB56" s="48">
        <f t="shared" si="179"/>
        <v>0</v>
      </c>
      <c r="BC56" s="48">
        <f t="shared" si="180"/>
        <v>0</v>
      </c>
      <c r="BD56" s="48">
        <f t="shared" si="181"/>
        <v>0</v>
      </c>
      <c r="BE56" s="48">
        <f t="shared" si="182"/>
        <v>0</v>
      </c>
      <c r="BF56" s="48">
        <f t="shared" si="183"/>
        <v>0</v>
      </c>
      <c r="BG56" s="48">
        <f t="shared" si="184"/>
        <v>0</v>
      </c>
      <c r="BH56" s="48">
        <f t="shared" si="185"/>
        <v>0</v>
      </c>
      <c r="BI56" s="48">
        <f t="shared" si="186"/>
        <v>0</v>
      </c>
      <c r="BJ56" s="48">
        <f t="shared" si="187"/>
        <v>0</v>
      </c>
      <c r="BK56" s="48">
        <f t="shared" si="188"/>
        <v>0</v>
      </c>
      <c r="BL56" s="48">
        <f t="shared" si="189"/>
        <v>0</v>
      </c>
      <c r="BM56" s="48">
        <f t="shared" si="190"/>
        <v>0</v>
      </c>
      <c r="BN56" s="48">
        <f t="shared" si="191"/>
        <v>0</v>
      </c>
      <c r="BO56" s="48">
        <f t="shared" si="192"/>
        <v>0</v>
      </c>
      <c r="BP56" s="48">
        <f t="shared" si="193"/>
        <v>0</v>
      </c>
      <c r="BQ56" s="48">
        <f t="shared" si="194"/>
        <v>0</v>
      </c>
      <c r="BR56" s="48">
        <f t="shared" si="195"/>
        <v>0</v>
      </c>
      <c r="BS56" s="48">
        <f t="shared" si="196"/>
        <v>0</v>
      </c>
      <c r="BT56" s="48">
        <f t="shared" si="197"/>
        <v>0</v>
      </c>
      <c r="BU56" s="48">
        <f t="shared" si="198"/>
        <v>0</v>
      </c>
      <c r="BV56" s="48">
        <f t="shared" si="199"/>
        <v>0</v>
      </c>
      <c r="BW56" s="48">
        <f t="shared" si="200"/>
        <v>0</v>
      </c>
      <c r="BX56" s="48">
        <f t="shared" si="201"/>
        <v>0</v>
      </c>
      <c r="BY56" s="48">
        <f t="shared" si="202"/>
        <v>0</v>
      </c>
      <c r="BZ56" s="48">
        <f t="shared" si="203"/>
        <v>0</v>
      </c>
      <c r="CA56" s="48">
        <f t="shared" si="204"/>
        <v>0</v>
      </c>
      <c r="CB56" s="48">
        <f t="shared" si="205"/>
        <v>0</v>
      </c>
      <c r="CC56" s="48">
        <f t="shared" si="206"/>
        <v>0</v>
      </c>
      <c r="CD56" s="48">
        <f t="shared" si="207"/>
        <v>0</v>
      </c>
      <c r="CE56" s="48">
        <f t="shared" si="208"/>
        <v>0</v>
      </c>
      <c r="CF56" s="48">
        <f t="shared" si="209"/>
        <v>0</v>
      </c>
      <c r="CG56" s="48">
        <f t="shared" si="210"/>
        <v>0</v>
      </c>
      <c r="CH56" s="48">
        <f t="shared" si="211"/>
        <v>0</v>
      </c>
      <c r="CI56" s="48">
        <f t="shared" si="212"/>
        <v>0</v>
      </c>
      <c r="CJ56" s="48">
        <f t="shared" si="213"/>
        <v>0</v>
      </c>
      <c r="CK56" s="48">
        <f t="shared" si="214"/>
        <v>0</v>
      </c>
      <c r="CL56" s="48">
        <f t="shared" si="215"/>
        <v>0</v>
      </c>
      <c r="CM56" s="48">
        <f t="shared" si="216"/>
        <v>0</v>
      </c>
      <c r="CN56" s="48">
        <f t="shared" si="217"/>
        <v>0</v>
      </c>
      <c r="CO56" s="48">
        <f t="shared" si="218"/>
        <v>0</v>
      </c>
      <c r="CP56" s="48">
        <f t="shared" si="219"/>
        <v>0</v>
      </c>
      <c r="CQ56" s="48">
        <f t="shared" si="220"/>
        <v>0</v>
      </c>
      <c r="CR56" s="48">
        <f t="shared" si="221"/>
        <v>0</v>
      </c>
      <c r="CS56" s="48">
        <f t="shared" si="222"/>
        <v>0</v>
      </c>
      <c r="CT56" s="48">
        <f t="shared" si="223"/>
        <v>0</v>
      </c>
      <c r="CU56" s="48">
        <f t="shared" si="224"/>
        <v>0</v>
      </c>
      <c r="CV56" s="48">
        <f t="shared" si="225"/>
        <v>0</v>
      </c>
      <c r="CW56" s="48">
        <f t="shared" si="226"/>
        <v>0</v>
      </c>
      <c r="CX56" s="48">
        <f t="shared" si="227"/>
        <v>0</v>
      </c>
      <c r="CY56" s="48">
        <f t="shared" si="228"/>
        <v>0</v>
      </c>
      <c r="CZ56" s="48">
        <f t="shared" si="229"/>
        <v>0</v>
      </c>
      <c r="DA56" s="48">
        <f t="shared" si="230"/>
        <v>0</v>
      </c>
      <c r="DB56" s="48">
        <f t="shared" si="231"/>
        <v>0</v>
      </c>
      <c r="DC56" s="48">
        <f t="shared" si="232"/>
        <v>0</v>
      </c>
      <c r="DD56" s="48">
        <f t="shared" si="233"/>
        <v>0</v>
      </c>
      <c r="DE56" s="48">
        <f t="shared" si="234"/>
        <v>0</v>
      </c>
      <c r="DF56" s="48">
        <f t="shared" si="235"/>
        <v>0</v>
      </c>
      <c r="DG56" s="48">
        <f t="shared" si="236"/>
        <v>0</v>
      </c>
      <c r="DH56" s="48">
        <f t="shared" si="237"/>
        <v>0</v>
      </c>
      <c r="DI56" s="48">
        <f t="shared" si="238"/>
        <v>0</v>
      </c>
      <c r="DJ56" s="48">
        <f t="shared" si="239"/>
        <v>0</v>
      </c>
      <c r="DK56" s="48">
        <f t="shared" si="240"/>
        <v>0</v>
      </c>
      <c r="DL56" s="48">
        <f t="shared" si="241"/>
        <v>0</v>
      </c>
      <c r="DM56" s="48">
        <f t="shared" si="242"/>
        <v>0</v>
      </c>
      <c r="DN56" s="48">
        <f t="shared" si="243"/>
        <v>0</v>
      </c>
      <c r="DO56" s="48">
        <f t="shared" si="244"/>
        <v>0</v>
      </c>
      <c r="DP56" s="48">
        <f t="shared" si="245"/>
        <v>0</v>
      </c>
      <c r="DQ56" s="48">
        <f t="shared" si="246"/>
        <v>0</v>
      </c>
      <c r="DR56" s="48">
        <f t="shared" si="247"/>
        <v>0</v>
      </c>
      <c r="DS56" s="48">
        <f t="shared" si="248"/>
        <v>0</v>
      </c>
      <c r="DT56" s="48">
        <f t="shared" si="249"/>
        <v>0</v>
      </c>
      <c r="DU56" s="48">
        <f t="shared" si="250"/>
        <v>0</v>
      </c>
      <c r="DV56" s="48">
        <f t="shared" si="251"/>
        <v>0</v>
      </c>
      <c r="DW56" s="48">
        <f t="shared" si="252"/>
        <v>0</v>
      </c>
      <c r="DX56" s="48">
        <f t="shared" si="253"/>
        <v>0</v>
      </c>
      <c r="DY56" s="48">
        <f t="shared" si="254"/>
        <v>0</v>
      </c>
      <c r="DZ56" s="48">
        <f t="shared" si="255"/>
        <v>0</v>
      </c>
      <c r="EA56" s="48">
        <f t="shared" si="256"/>
        <v>0</v>
      </c>
      <c r="EB56" s="48">
        <f t="shared" si="257"/>
        <v>0</v>
      </c>
      <c r="EC56" s="48">
        <f t="shared" si="258"/>
        <v>0</v>
      </c>
      <c r="ED56" s="48">
        <f t="shared" si="259"/>
        <v>0</v>
      </c>
      <c r="EE56" s="48">
        <f t="shared" si="260"/>
        <v>0</v>
      </c>
      <c r="EF56" s="48">
        <f t="shared" si="261"/>
        <v>0</v>
      </c>
      <c r="EG56" s="48">
        <f t="shared" si="262"/>
        <v>0</v>
      </c>
      <c r="EH56" s="48">
        <f t="shared" si="263"/>
        <v>0</v>
      </c>
      <c r="EI56" s="48">
        <f t="shared" si="264"/>
        <v>0</v>
      </c>
      <c r="EJ56" s="48">
        <f t="shared" si="265"/>
        <v>0</v>
      </c>
      <c r="EK56" s="48">
        <f t="shared" si="266"/>
        <v>0</v>
      </c>
      <c r="EL56" s="48">
        <f t="shared" si="267"/>
        <v>0</v>
      </c>
      <c r="EM56" s="48">
        <f t="shared" si="268"/>
        <v>0</v>
      </c>
      <c r="EN56" s="48">
        <f t="shared" si="269"/>
        <v>0</v>
      </c>
      <c r="EO56" s="48">
        <f t="shared" si="270"/>
        <v>0</v>
      </c>
      <c r="EP56" s="48">
        <f t="shared" si="271"/>
        <v>0</v>
      </c>
      <c r="EQ56" s="48">
        <f t="shared" si="272"/>
        <v>0</v>
      </c>
      <c r="ER56" s="48">
        <f t="shared" si="273"/>
        <v>0</v>
      </c>
      <c r="ES56" s="48">
        <f t="shared" si="274"/>
        <v>0</v>
      </c>
      <c r="ET56" s="48">
        <f t="shared" si="275"/>
        <v>0</v>
      </c>
      <c r="EU56" s="48">
        <f t="shared" si="276"/>
        <v>0</v>
      </c>
      <c r="EV56" s="48">
        <f t="shared" si="277"/>
        <v>0</v>
      </c>
      <c r="EW56" s="48">
        <f t="shared" si="278"/>
        <v>0</v>
      </c>
      <c r="EX56" s="48">
        <f t="shared" si="279"/>
        <v>0</v>
      </c>
      <c r="EY56" s="48">
        <f t="shared" si="280"/>
        <v>0</v>
      </c>
      <c r="EZ56" s="48">
        <f t="shared" si="281"/>
        <v>0</v>
      </c>
      <c r="FA56" s="48">
        <f t="shared" si="282"/>
        <v>0</v>
      </c>
      <c r="FB56" s="48">
        <f t="shared" si="283"/>
        <v>0</v>
      </c>
      <c r="FC56" s="48">
        <f t="shared" si="284"/>
        <v>0</v>
      </c>
      <c r="FD56" s="48">
        <f t="shared" si="285"/>
        <v>0</v>
      </c>
      <c r="FE56" s="48">
        <f t="shared" si="286"/>
        <v>0</v>
      </c>
      <c r="FF56" s="48">
        <f t="shared" si="287"/>
        <v>0</v>
      </c>
      <c r="FG56" s="48">
        <f t="shared" si="288"/>
        <v>0</v>
      </c>
      <c r="FH56" s="48">
        <f t="shared" si="289"/>
        <v>0</v>
      </c>
      <c r="FI56" s="48">
        <f t="shared" si="290"/>
        <v>0</v>
      </c>
      <c r="FJ56" s="48">
        <f t="shared" si="291"/>
        <v>0</v>
      </c>
      <c r="FK56" s="48">
        <f t="shared" si="292"/>
        <v>0</v>
      </c>
      <c r="FL56" s="48">
        <f t="shared" si="293"/>
        <v>0</v>
      </c>
      <c r="FM56" s="48">
        <f t="shared" si="294"/>
        <v>0</v>
      </c>
      <c r="FN56" s="48">
        <f t="shared" si="295"/>
        <v>0</v>
      </c>
      <c r="FO56" s="48">
        <f t="shared" si="296"/>
        <v>0</v>
      </c>
      <c r="FP56" s="48">
        <f t="shared" si="297"/>
        <v>0</v>
      </c>
      <c r="FQ56" s="48">
        <f t="shared" si="298"/>
        <v>0</v>
      </c>
      <c r="FR56" s="48">
        <f t="shared" si="299"/>
        <v>0</v>
      </c>
      <c r="FS56" s="48">
        <f t="shared" si="300"/>
        <v>0</v>
      </c>
      <c r="FT56" s="48">
        <f t="shared" si="301"/>
        <v>0</v>
      </c>
      <c r="FU56" s="48">
        <f t="shared" si="302"/>
        <v>0</v>
      </c>
      <c r="FV56" s="48">
        <f t="shared" si="303"/>
        <v>0</v>
      </c>
      <c r="FW56" s="48">
        <f t="shared" si="304"/>
        <v>0</v>
      </c>
      <c r="FX56" s="48">
        <f t="shared" si="305"/>
        <v>0</v>
      </c>
      <c r="FY56" s="48">
        <f t="shared" si="306"/>
        <v>0</v>
      </c>
      <c r="FZ56" s="48">
        <f t="shared" si="307"/>
        <v>0</v>
      </c>
      <c r="GA56" s="48">
        <f t="shared" si="308"/>
        <v>0</v>
      </c>
      <c r="GB56" s="48">
        <f t="shared" si="309"/>
        <v>0</v>
      </c>
      <c r="GC56" s="48">
        <f t="shared" si="310"/>
        <v>0</v>
      </c>
      <c r="GG56">
        <f t="shared" si="311"/>
        <v>0</v>
      </c>
    </row>
    <row r="57" spans="1:189" x14ac:dyDescent="0.25">
      <c r="A57" s="690"/>
      <c r="B57" s="690"/>
      <c r="C57" s="690"/>
      <c r="D57" s="690"/>
      <c r="E57" s="690"/>
      <c r="F57" s="690"/>
      <c r="G57" s="889"/>
      <c r="H57" s="690"/>
      <c r="I57" s="690"/>
      <c r="J57" s="690"/>
      <c r="K57" s="690"/>
      <c r="L57" s="690"/>
      <c r="M57" s="690"/>
      <c r="N57" s="507" t="str">
        <f t="shared" si="159"/>
        <v/>
      </c>
      <c r="O57" s="690"/>
      <c r="P57" s="507" t="str">
        <f t="shared" si="158"/>
        <v/>
      </c>
      <c r="Q57" s="690"/>
      <c r="R57" s="690"/>
      <c r="S57" s="690"/>
      <c r="T57" s="690"/>
      <c r="U57">
        <f t="shared" si="312"/>
        <v>0</v>
      </c>
      <c r="V57">
        <f t="shared" si="313"/>
        <v>0</v>
      </c>
      <c r="X57">
        <f t="shared" si="314"/>
        <v>0</v>
      </c>
      <c r="Y57">
        <f t="shared" si="315"/>
        <v>0</v>
      </c>
      <c r="Z57">
        <f t="shared" si="316"/>
        <v>0</v>
      </c>
      <c r="AA57">
        <f t="shared" si="317"/>
        <v>0</v>
      </c>
      <c r="AB57" s="25"/>
      <c r="AC57" s="25"/>
      <c r="AD57" s="25"/>
      <c r="AF57" s="48" t="s">
        <v>712</v>
      </c>
      <c r="AG57" s="689"/>
      <c r="AH57" s="689"/>
      <c r="AI57" s="48">
        <f t="shared" si="160"/>
        <v>0</v>
      </c>
      <c r="AJ57" s="48">
        <f t="shared" si="161"/>
        <v>0</v>
      </c>
      <c r="AK57" s="48">
        <f t="shared" si="162"/>
        <v>0</v>
      </c>
      <c r="AL57" s="48">
        <f t="shared" si="163"/>
        <v>0</v>
      </c>
      <c r="AM57" s="48">
        <f t="shared" si="164"/>
        <v>0</v>
      </c>
      <c r="AN57" s="48">
        <f t="shared" si="165"/>
        <v>0</v>
      </c>
      <c r="AO57" s="48">
        <f t="shared" si="166"/>
        <v>0</v>
      </c>
      <c r="AP57" s="48">
        <f t="shared" si="167"/>
        <v>0</v>
      </c>
      <c r="AQ57" s="48">
        <f t="shared" si="168"/>
        <v>0</v>
      </c>
      <c r="AR57" s="48">
        <f t="shared" si="169"/>
        <v>0</v>
      </c>
      <c r="AS57" s="48">
        <f t="shared" si="170"/>
        <v>0</v>
      </c>
      <c r="AT57" s="48">
        <f t="shared" si="171"/>
        <v>0</v>
      </c>
      <c r="AU57" s="48">
        <f t="shared" si="172"/>
        <v>0</v>
      </c>
      <c r="AV57" s="48">
        <f t="shared" si="173"/>
        <v>0</v>
      </c>
      <c r="AW57" s="48">
        <f t="shared" si="174"/>
        <v>0</v>
      </c>
      <c r="AX57" s="48">
        <f t="shared" si="175"/>
        <v>0</v>
      </c>
      <c r="AY57" s="48">
        <f t="shared" si="176"/>
        <v>0</v>
      </c>
      <c r="AZ57" s="48">
        <f t="shared" si="177"/>
        <v>0</v>
      </c>
      <c r="BA57" s="48">
        <f t="shared" si="178"/>
        <v>0</v>
      </c>
      <c r="BB57" s="48">
        <f t="shared" si="179"/>
        <v>0</v>
      </c>
      <c r="BC57" s="48">
        <f t="shared" si="180"/>
        <v>0</v>
      </c>
      <c r="BD57" s="48">
        <f t="shared" si="181"/>
        <v>0</v>
      </c>
      <c r="BE57" s="48">
        <f t="shared" si="182"/>
        <v>0</v>
      </c>
      <c r="BF57" s="48">
        <f t="shared" si="183"/>
        <v>0</v>
      </c>
      <c r="BG57" s="48">
        <f t="shared" si="184"/>
        <v>0</v>
      </c>
      <c r="BH57" s="48">
        <f t="shared" si="185"/>
        <v>0</v>
      </c>
      <c r="BI57" s="48">
        <f t="shared" si="186"/>
        <v>0</v>
      </c>
      <c r="BJ57" s="48">
        <f t="shared" si="187"/>
        <v>0</v>
      </c>
      <c r="BK57" s="48">
        <f t="shared" si="188"/>
        <v>0</v>
      </c>
      <c r="BL57" s="48">
        <f t="shared" si="189"/>
        <v>0</v>
      </c>
      <c r="BM57" s="48">
        <f t="shared" si="190"/>
        <v>0</v>
      </c>
      <c r="BN57" s="48">
        <f t="shared" si="191"/>
        <v>0</v>
      </c>
      <c r="BO57" s="48">
        <f t="shared" si="192"/>
        <v>0</v>
      </c>
      <c r="BP57" s="48">
        <f t="shared" si="193"/>
        <v>0</v>
      </c>
      <c r="BQ57" s="48">
        <f t="shared" si="194"/>
        <v>0</v>
      </c>
      <c r="BR57" s="48">
        <f t="shared" si="195"/>
        <v>0</v>
      </c>
      <c r="BS57" s="48">
        <f t="shared" si="196"/>
        <v>0</v>
      </c>
      <c r="BT57" s="48">
        <f t="shared" si="197"/>
        <v>0</v>
      </c>
      <c r="BU57" s="48">
        <f t="shared" si="198"/>
        <v>0</v>
      </c>
      <c r="BV57" s="48">
        <f t="shared" si="199"/>
        <v>0</v>
      </c>
      <c r="BW57" s="48">
        <f t="shared" si="200"/>
        <v>0</v>
      </c>
      <c r="BX57" s="48">
        <f t="shared" si="201"/>
        <v>0</v>
      </c>
      <c r="BY57" s="48">
        <f t="shared" si="202"/>
        <v>0</v>
      </c>
      <c r="BZ57" s="48">
        <f t="shared" si="203"/>
        <v>0</v>
      </c>
      <c r="CA57" s="48">
        <f t="shared" si="204"/>
        <v>0</v>
      </c>
      <c r="CB57" s="48">
        <f t="shared" si="205"/>
        <v>0</v>
      </c>
      <c r="CC57" s="48">
        <f t="shared" si="206"/>
        <v>0</v>
      </c>
      <c r="CD57" s="48">
        <f t="shared" si="207"/>
        <v>0</v>
      </c>
      <c r="CE57" s="48">
        <f t="shared" si="208"/>
        <v>0</v>
      </c>
      <c r="CF57" s="48">
        <f t="shared" si="209"/>
        <v>0</v>
      </c>
      <c r="CG57" s="48">
        <f t="shared" si="210"/>
        <v>0</v>
      </c>
      <c r="CH57" s="48">
        <f t="shared" si="211"/>
        <v>0</v>
      </c>
      <c r="CI57" s="48">
        <f t="shared" si="212"/>
        <v>0</v>
      </c>
      <c r="CJ57" s="48">
        <f t="shared" si="213"/>
        <v>0</v>
      </c>
      <c r="CK57" s="48">
        <f t="shared" si="214"/>
        <v>0</v>
      </c>
      <c r="CL57" s="48">
        <f t="shared" si="215"/>
        <v>0</v>
      </c>
      <c r="CM57" s="48">
        <f t="shared" si="216"/>
        <v>0</v>
      </c>
      <c r="CN57" s="48">
        <f t="shared" si="217"/>
        <v>0</v>
      </c>
      <c r="CO57" s="48">
        <f t="shared" si="218"/>
        <v>0</v>
      </c>
      <c r="CP57" s="48">
        <f t="shared" si="219"/>
        <v>0</v>
      </c>
      <c r="CQ57" s="48">
        <f t="shared" si="220"/>
        <v>0</v>
      </c>
      <c r="CR57" s="48">
        <f t="shared" si="221"/>
        <v>0</v>
      </c>
      <c r="CS57" s="48">
        <f t="shared" si="222"/>
        <v>0</v>
      </c>
      <c r="CT57" s="48">
        <f t="shared" si="223"/>
        <v>0</v>
      </c>
      <c r="CU57" s="48">
        <f t="shared" si="224"/>
        <v>0</v>
      </c>
      <c r="CV57" s="48">
        <f t="shared" si="225"/>
        <v>0</v>
      </c>
      <c r="CW57" s="48">
        <f t="shared" si="226"/>
        <v>0</v>
      </c>
      <c r="CX57" s="48">
        <f t="shared" si="227"/>
        <v>0</v>
      </c>
      <c r="CY57" s="48">
        <f t="shared" si="228"/>
        <v>0</v>
      </c>
      <c r="CZ57" s="48">
        <f t="shared" si="229"/>
        <v>0</v>
      </c>
      <c r="DA57" s="48">
        <f t="shared" si="230"/>
        <v>0</v>
      </c>
      <c r="DB57" s="48">
        <f t="shared" si="231"/>
        <v>0</v>
      </c>
      <c r="DC57" s="48">
        <f t="shared" si="232"/>
        <v>0</v>
      </c>
      <c r="DD57" s="48">
        <f t="shared" si="233"/>
        <v>0</v>
      </c>
      <c r="DE57" s="48">
        <f t="shared" si="234"/>
        <v>0</v>
      </c>
      <c r="DF57" s="48">
        <f t="shared" si="235"/>
        <v>0</v>
      </c>
      <c r="DG57" s="48">
        <f t="shared" si="236"/>
        <v>0</v>
      </c>
      <c r="DH57" s="48">
        <f t="shared" si="237"/>
        <v>0</v>
      </c>
      <c r="DI57" s="48">
        <f t="shared" si="238"/>
        <v>0</v>
      </c>
      <c r="DJ57" s="48">
        <f t="shared" si="239"/>
        <v>0</v>
      </c>
      <c r="DK57" s="48">
        <f t="shared" si="240"/>
        <v>0</v>
      </c>
      <c r="DL57" s="48">
        <f t="shared" si="241"/>
        <v>0</v>
      </c>
      <c r="DM57" s="48">
        <f t="shared" si="242"/>
        <v>0</v>
      </c>
      <c r="DN57" s="48">
        <f t="shared" si="243"/>
        <v>0</v>
      </c>
      <c r="DO57" s="48">
        <f t="shared" si="244"/>
        <v>0</v>
      </c>
      <c r="DP57" s="48">
        <f t="shared" si="245"/>
        <v>0</v>
      </c>
      <c r="DQ57" s="48">
        <f t="shared" si="246"/>
        <v>0</v>
      </c>
      <c r="DR57" s="48">
        <f t="shared" si="247"/>
        <v>0</v>
      </c>
      <c r="DS57" s="48">
        <f t="shared" si="248"/>
        <v>0</v>
      </c>
      <c r="DT57" s="48">
        <f t="shared" si="249"/>
        <v>0</v>
      </c>
      <c r="DU57" s="48">
        <f t="shared" si="250"/>
        <v>0</v>
      </c>
      <c r="DV57" s="48">
        <f t="shared" si="251"/>
        <v>0</v>
      </c>
      <c r="DW57" s="48">
        <f t="shared" si="252"/>
        <v>0</v>
      </c>
      <c r="DX57" s="48">
        <f t="shared" si="253"/>
        <v>0</v>
      </c>
      <c r="DY57" s="48">
        <f t="shared" si="254"/>
        <v>0</v>
      </c>
      <c r="DZ57" s="48">
        <f t="shared" si="255"/>
        <v>0</v>
      </c>
      <c r="EA57" s="48">
        <f t="shared" si="256"/>
        <v>0</v>
      </c>
      <c r="EB57" s="48">
        <f t="shared" si="257"/>
        <v>0</v>
      </c>
      <c r="EC57" s="48">
        <f t="shared" si="258"/>
        <v>0</v>
      </c>
      <c r="ED57" s="48">
        <f t="shared" si="259"/>
        <v>0</v>
      </c>
      <c r="EE57" s="48">
        <f t="shared" si="260"/>
        <v>0</v>
      </c>
      <c r="EF57" s="48">
        <f t="shared" si="261"/>
        <v>0</v>
      </c>
      <c r="EG57" s="48">
        <f t="shared" si="262"/>
        <v>0</v>
      </c>
      <c r="EH57" s="48">
        <f t="shared" si="263"/>
        <v>0</v>
      </c>
      <c r="EI57" s="48">
        <f t="shared" si="264"/>
        <v>0</v>
      </c>
      <c r="EJ57" s="48">
        <f t="shared" si="265"/>
        <v>0</v>
      </c>
      <c r="EK57" s="48">
        <f t="shared" si="266"/>
        <v>0</v>
      </c>
      <c r="EL57" s="48">
        <f t="shared" si="267"/>
        <v>0</v>
      </c>
      <c r="EM57" s="48">
        <f t="shared" si="268"/>
        <v>0</v>
      </c>
      <c r="EN57" s="48">
        <f t="shared" si="269"/>
        <v>0</v>
      </c>
      <c r="EO57" s="48">
        <f t="shared" si="270"/>
        <v>0</v>
      </c>
      <c r="EP57" s="48">
        <f t="shared" si="271"/>
        <v>0</v>
      </c>
      <c r="EQ57" s="48">
        <f t="shared" si="272"/>
        <v>0</v>
      </c>
      <c r="ER57" s="48">
        <f t="shared" si="273"/>
        <v>0</v>
      </c>
      <c r="ES57" s="48">
        <f t="shared" si="274"/>
        <v>0</v>
      </c>
      <c r="ET57" s="48">
        <f t="shared" si="275"/>
        <v>0</v>
      </c>
      <c r="EU57" s="48">
        <f t="shared" si="276"/>
        <v>0</v>
      </c>
      <c r="EV57" s="48">
        <f t="shared" si="277"/>
        <v>0</v>
      </c>
      <c r="EW57" s="48">
        <f t="shared" si="278"/>
        <v>0</v>
      </c>
      <c r="EX57" s="48">
        <f t="shared" si="279"/>
        <v>0</v>
      </c>
      <c r="EY57" s="48">
        <f t="shared" si="280"/>
        <v>0</v>
      </c>
      <c r="EZ57" s="48">
        <f t="shared" si="281"/>
        <v>0</v>
      </c>
      <c r="FA57" s="48">
        <f t="shared" si="282"/>
        <v>0</v>
      </c>
      <c r="FB57" s="48">
        <f t="shared" si="283"/>
        <v>0</v>
      </c>
      <c r="FC57" s="48">
        <f t="shared" si="284"/>
        <v>0</v>
      </c>
      <c r="FD57" s="48">
        <f t="shared" si="285"/>
        <v>0</v>
      </c>
      <c r="FE57" s="48">
        <f t="shared" si="286"/>
        <v>0</v>
      </c>
      <c r="FF57" s="48">
        <f t="shared" si="287"/>
        <v>0</v>
      </c>
      <c r="FG57" s="48">
        <f t="shared" si="288"/>
        <v>0</v>
      </c>
      <c r="FH57" s="48">
        <f t="shared" si="289"/>
        <v>0</v>
      </c>
      <c r="FI57" s="48">
        <f t="shared" si="290"/>
        <v>0</v>
      </c>
      <c r="FJ57" s="48">
        <f t="shared" si="291"/>
        <v>0</v>
      </c>
      <c r="FK57" s="48">
        <f t="shared" si="292"/>
        <v>0</v>
      </c>
      <c r="FL57" s="48">
        <f t="shared" si="293"/>
        <v>0</v>
      </c>
      <c r="FM57" s="48">
        <f t="shared" si="294"/>
        <v>0</v>
      </c>
      <c r="FN57" s="48">
        <f t="shared" si="295"/>
        <v>0</v>
      </c>
      <c r="FO57" s="48">
        <f t="shared" si="296"/>
        <v>0</v>
      </c>
      <c r="FP57" s="48">
        <f t="shared" si="297"/>
        <v>0</v>
      </c>
      <c r="FQ57" s="48">
        <f t="shared" si="298"/>
        <v>0</v>
      </c>
      <c r="FR57" s="48">
        <f t="shared" si="299"/>
        <v>0</v>
      </c>
      <c r="FS57" s="48">
        <f t="shared" si="300"/>
        <v>0</v>
      </c>
      <c r="FT57" s="48">
        <f t="shared" si="301"/>
        <v>0</v>
      </c>
      <c r="FU57" s="48">
        <f t="shared" si="302"/>
        <v>0</v>
      </c>
      <c r="FV57" s="48">
        <f t="shared" si="303"/>
        <v>0</v>
      </c>
      <c r="FW57" s="48">
        <f t="shared" si="304"/>
        <v>0</v>
      </c>
      <c r="FX57" s="48">
        <f t="shared" si="305"/>
        <v>0</v>
      </c>
      <c r="FY57" s="48">
        <f t="shared" si="306"/>
        <v>0</v>
      </c>
      <c r="FZ57" s="48">
        <f t="shared" si="307"/>
        <v>0</v>
      </c>
      <c r="GA57" s="48">
        <f t="shared" si="308"/>
        <v>0</v>
      </c>
      <c r="GB57" s="48">
        <f t="shared" si="309"/>
        <v>0</v>
      </c>
      <c r="GC57" s="48">
        <f t="shared" si="310"/>
        <v>0</v>
      </c>
      <c r="GG57">
        <f t="shared" si="311"/>
        <v>0</v>
      </c>
    </row>
    <row r="58" spans="1:189" x14ac:dyDescent="0.25">
      <c r="A58" s="690"/>
      <c r="B58" s="690"/>
      <c r="C58" s="690"/>
      <c r="D58" s="690"/>
      <c r="E58" s="690"/>
      <c r="F58" s="690"/>
      <c r="G58" s="889"/>
      <c r="H58" s="690"/>
      <c r="I58" s="690"/>
      <c r="J58" s="690"/>
      <c r="K58" s="690"/>
      <c r="L58" s="690"/>
      <c r="M58" s="690"/>
      <c r="N58" s="507" t="str">
        <f t="shared" si="159"/>
        <v/>
      </c>
      <c r="O58" s="690"/>
      <c r="P58" s="507" t="str">
        <f t="shared" si="158"/>
        <v/>
      </c>
      <c r="Q58" s="690"/>
      <c r="R58" s="690"/>
      <c r="S58" s="690"/>
      <c r="T58" s="690"/>
      <c r="U58">
        <f t="shared" si="312"/>
        <v>0</v>
      </c>
      <c r="V58">
        <f t="shared" si="313"/>
        <v>0</v>
      </c>
      <c r="X58">
        <f t="shared" si="314"/>
        <v>0</v>
      </c>
      <c r="Y58">
        <f t="shared" si="315"/>
        <v>0</v>
      </c>
      <c r="Z58">
        <f t="shared" si="316"/>
        <v>0</v>
      </c>
      <c r="AA58">
        <f t="shared" si="317"/>
        <v>0</v>
      </c>
      <c r="AB58" s="25"/>
      <c r="AC58" s="25"/>
      <c r="AD58" s="25"/>
      <c r="AF58" s="48" t="s">
        <v>713</v>
      </c>
      <c r="AG58" s="689"/>
      <c r="AH58" s="689"/>
      <c r="AI58" s="48">
        <f t="shared" si="160"/>
        <v>0</v>
      </c>
      <c r="AJ58" s="48">
        <f t="shared" si="161"/>
        <v>0</v>
      </c>
      <c r="AK58" s="48">
        <f t="shared" si="162"/>
        <v>0</v>
      </c>
      <c r="AL58" s="48">
        <f t="shared" si="163"/>
        <v>0</v>
      </c>
      <c r="AM58" s="48">
        <f t="shared" si="164"/>
        <v>0</v>
      </c>
      <c r="AN58" s="48">
        <f t="shared" si="165"/>
        <v>0</v>
      </c>
      <c r="AO58" s="48">
        <f t="shared" si="166"/>
        <v>0</v>
      </c>
      <c r="AP58" s="48">
        <f t="shared" si="167"/>
        <v>0</v>
      </c>
      <c r="AQ58" s="48">
        <f t="shared" si="168"/>
        <v>0</v>
      </c>
      <c r="AR58" s="48">
        <f t="shared" si="169"/>
        <v>0</v>
      </c>
      <c r="AS58" s="48">
        <f t="shared" si="170"/>
        <v>0</v>
      </c>
      <c r="AT58" s="48">
        <f t="shared" si="171"/>
        <v>0</v>
      </c>
      <c r="AU58" s="48">
        <f t="shared" si="172"/>
        <v>0</v>
      </c>
      <c r="AV58" s="48">
        <f t="shared" si="173"/>
        <v>0</v>
      </c>
      <c r="AW58" s="48">
        <f t="shared" si="174"/>
        <v>0</v>
      </c>
      <c r="AX58" s="48">
        <f t="shared" si="175"/>
        <v>0</v>
      </c>
      <c r="AY58" s="48">
        <f t="shared" si="176"/>
        <v>0</v>
      </c>
      <c r="AZ58" s="48">
        <f t="shared" si="177"/>
        <v>0</v>
      </c>
      <c r="BA58" s="48">
        <f t="shared" si="178"/>
        <v>0</v>
      </c>
      <c r="BB58" s="48">
        <f t="shared" si="179"/>
        <v>0</v>
      </c>
      <c r="BC58" s="48">
        <f t="shared" si="180"/>
        <v>0</v>
      </c>
      <c r="BD58" s="48">
        <f t="shared" si="181"/>
        <v>0</v>
      </c>
      <c r="BE58" s="48">
        <f t="shared" si="182"/>
        <v>0</v>
      </c>
      <c r="BF58" s="48">
        <f t="shared" si="183"/>
        <v>0</v>
      </c>
      <c r="BG58" s="48">
        <f t="shared" si="184"/>
        <v>0</v>
      </c>
      <c r="BH58" s="48">
        <f t="shared" si="185"/>
        <v>0</v>
      </c>
      <c r="BI58" s="48">
        <f t="shared" si="186"/>
        <v>0</v>
      </c>
      <c r="BJ58" s="48">
        <f t="shared" si="187"/>
        <v>0</v>
      </c>
      <c r="BK58" s="48">
        <f t="shared" si="188"/>
        <v>0</v>
      </c>
      <c r="BL58" s="48">
        <f t="shared" si="189"/>
        <v>0</v>
      </c>
      <c r="BM58" s="48">
        <f t="shared" si="190"/>
        <v>0</v>
      </c>
      <c r="BN58" s="48">
        <f t="shared" si="191"/>
        <v>0</v>
      </c>
      <c r="BO58" s="48">
        <f t="shared" si="192"/>
        <v>0</v>
      </c>
      <c r="BP58" s="48">
        <f t="shared" si="193"/>
        <v>0</v>
      </c>
      <c r="BQ58" s="48">
        <f t="shared" si="194"/>
        <v>0</v>
      </c>
      <c r="BR58" s="48">
        <f t="shared" si="195"/>
        <v>0</v>
      </c>
      <c r="BS58" s="48">
        <f t="shared" si="196"/>
        <v>0</v>
      </c>
      <c r="BT58" s="48">
        <f t="shared" si="197"/>
        <v>0</v>
      </c>
      <c r="BU58" s="48">
        <f t="shared" si="198"/>
        <v>0</v>
      </c>
      <c r="BV58" s="48">
        <f t="shared" si="199"/>
        <v>0</v>
      </c>
      <c r="BW58" s="48">
        <f t="shared" si="200"/>
        <v>0</v>
      </c>
      <c r="BX58" s="48">
        <f t="shared" si="201"/>
        <v>0</v>
      </c>
      <c r="BY58" s="48">
        <f t="shared" si="202"/>
        <v>0</v>
      </c>
      <c r="BZ58" s="48">
        <f t="shared" si="203"/>
        <v>0</v>
      </c>
      <c r="CA58" s="48">
        <f t="shared" si="204"/>
        <v>0</v>
      </c>
      <c r="CB58" s="48">
        <f t="shared" si="205"/>
        <v>0</v>
      </c>
      <c r="CC58" s="48">
        <f t="shared" si="206"/>
        <v>0</v>
      </c>
      <c r="CD58" s="48">
        <f t="shared" si="207"/>
        <v>0</v>
      </c>
      <c r="CE58" s="48">
        <f t="shared" si="208"/>
        <v>0</v>
      </c>
      <c r="CF58" s="48">
        <f t="shared" si="209"/>
        <v>0</v>
      </c>
      <c r="CG58" s="48">
        <f t="shared" si="210"/>
        <v>0</v>
      </c>
      <c r="CH58" s="48">
        <f t="shared" si="211"/>
        <v>0</v>
      </c>
      <c r="CI58" s="48">
        <f t="shared" si="212"/>
        <v>0</v>
      </c>
      <c r="CJ58" s="48">
        <f t="shared" si="213"/>
        <v>0</v>
      </c>
      <c r="CK58" s="48">
        <f t="shared" si="214"/>
        <v>0</v>
      </c>
      <c r="CL58" s="48">
        <f t="shared" si="215"/>
        <v>0</v>
      </c>
      <c r="CM58" s="48">
        <f t="shared" si="216"/>
        <v>0</v>
      </c>
      <c r="CN58" s="48">
        <f t="shared" si="217"/>
        <v>0</v>
      </c>
      <c r="CO58" s="48">
        <f t="shared" si="218"/>
        <v>0</v>
      </c>
      <c r="CP58" s="48">
        <f t="shared" si="219"/>
        <v>0</v>
      </c>
      <c r="CQ58" s="48">
        <f t="shared" si="220"/>
        <v>0</v>
      </c>
      <c r="CR58" s="48">
        <f t="shared" si="221"/>
        <v>0</v>
      </c>
      <c r="CS58" s="48">
        <f t="shared" si="222"/>
        <v>0</v>
      </c>
      <c r="CT58" s="48">
        <f t="shared" si="223"/>
        <v>0</v>
      </c>
      <c r="CU58" s="48">
        <f t="shared" si="224"/>
        <v>0</v>
      </c>
      <c r="CV58" s="48">
        <f t="shared" si="225"/>
        <v>0</v>
      </c>
      <c r="CW58" s="48">
        <f t="shared" si="226"/>
        <v>0</v>
      </c>
      <c r="CX58" s="48">
        <f t="shared" si="227"/>
        <v>0</v>
      </c>
      <c r="CY58" s="48">
        <f t="shared" si="228"/>
        <v>0</v>
      </c>
      <c r="CZ58" s="48">
        <f t="shared" si="229"/>
        <v>0</v>
      </c>
      <c r="DA58" s="48">
        <f t="shared" si="230"/>
        <v>0</v>
      </c>
      <c r="DB58" s="48">
        <f t="shared" si="231"/>
        <v>0</v>
      </c>
      <c r="DC58" s="48">
        <f t="shared" si="232"/>
        <v>0</v>
      </c>
      <c r="DD58" s="48">
        <f t="shared" si="233"/>
        <v>0</v>
      </c>
      <c r="DE58" s="48">
        <f t="shared" si="234"/>
        <v>0</v>
      </c>
      <c r="DF58" s="48">
        <f t="shared" si="235"/>
        <v>0</v>
      </c>
      <c r="DG58" s="48">
        <f t="shared" si="236"/>
        <v>0</v>
      </c>
      <c r="DH58" s="48">
        <f t="shared" si="237"/>
        <v>0</v>
      </c>
      <c r="DI58" s="48">
        <f t="shared" si="238"/>
        <v>0</v>
      </c>
      <c r="DJ58" s="48">
        <f t="shared" si="239"/>
        <v>0</v>
      </c>
      <c r="DK58" s="48">
        <f t="shared" si="240"/>
        <v>0</v>
      </c>
      <c r="DL58" s="48">
        <f t="shared" si="241"/>
        <v>0</v>
      </c>
      <c r="DM58" s="48">
        <f t="shared" si="242"/>
        <v>0</v>
      </c>
      <c r="DN58" s="48">
        <f t="shared" si="243"/>
        <v>0</v>
      </c>
      <c r="DO58" s="48">
        <f t="shared" si="244"/>
        <v>0</v>
      </c>
      <c r="DP58" s="48">
        <f t="shared" si="245"/>
        <v>0</v>
      </c>
      <c r="DQ58" s="48">
        <f t="shared" si="246"/>
        <v>0</v>
      </c>
      <c r="DR58" s="48">
        <f t="shared" si="247"/>
        <v>0</v>
      </c>
      <c r="DS58" s="48">
        <f t="shared" si="248"/>
        <v>0</v>
      </c>
      <c r="DT58" s="48">
        <f t="shared" si="249"/>
        <v>0</v>
      </c>
      <c r="DU58" s="48">
        <f t="shared" si="250"/>
        <v>0</v>
      </c>
      <c r="DV58" s="48">
        <f t="shared" si="251"/>
        <v>0</v>
      </c>
      <c r="DW58" s="48">
        <f t="shared" si="252"/>
        <v>0</v>
      </c>
      <c r="DX58" s="48">
        <f t="shared" si="253"/>
        <v>0</v>
      </c>
      <c r="DY58" s="48">
        <f t="shared" si="254"/>
        <v>0</v>
      </c>
      <c r="DZ58" s="48">
        <f t="shared" si="255"/>
        <v>0</v>
      </c>
      <c r="EA58" s="48">
        <f t="shared" si="256"/>
        <v>0</v>
      </c>
      <c r="EB58" s="48">
        <f t="shared" si="257"/>
        <v>0</v>
      </c>
      <c r="EC58" s="48">
        <f t="shared" si="258"/>
        <v>0</v>
      </c>
      <c r="ED58" s="48">
        <f t="shared" si="259"/>
        <v>0</v>
      </c>
      <c r="EE58" s="48">
        <f t="shared" si="260"/>
        <v>0</v>
      </c>
      <c r="EF58" s="48">
        <f t="shared" si="261"/>
        <v>0</v>
      </c>
      <c r="EG58" s="48">
        <f t="shared" si="262"/>
        <v>0</v>
      </c>
      <c r="EH58" s="48">
        <f t="shared" si="263"/>
        <v>0</v>
      </c>
      <c r="EI58" s="48">
        <f t="shared" si="264"/>
        <v>0</v>
      </c>
      <c r="EJ58" s="48">
        <f t="shared" si="265"/>
        <v>0</v>
      </c>
      <c r="EK58" s="48">
        <f t="shared" si="266"/>
        <v>0</v>
      </c>
      <c r="EL58" s="48">
        <f t="shared" si="267"/>
        <v>0</v>
      </c>
      <c r="EM58" s="48">
        <f t="shared" si="268"/>
        <v>0</v>
      </c>
      <c r="EN58" s="48">
        <f t="shared" si="269"/>
        <v>0</v>
      </c>
      <c r="EO58" s="48">
        <f t="shared" si="270"/>
        <v>0</v>
      </c>
      <c r="EP58" s="48">
        <f t="shared" si="271"/>
        <v>0</v>
      </c>
      <c r="EQ58" s="48">
        <f t="shared" si="272"/>
        <v>0</v>
      </c>
      <c r="ER58" s="48">
        <f t="shared" si="273"/>
        <v>0</v>
      </c>
      <c r="ES58" s="48">
        <f t="shared" si="274"/>
        <v>0</v>
      </c>
      <c r="ET58" s="48">
        <f t="shared" si="275"/>
        <v>0</v>
      </c>
      <c r="EU58" s="48">
        <f t="shared" si="276"/>
        <v>0</v>
      </c>
      <c r="EV58" s="48">
        <f t="shared" si="277"/>
        <v>0</v>
      </c>
      <c r="EW58" s="48">
        <f t="shared" si="278"/>
        <v>0</v>
      </c>
      <c r="EX58" s="48">
        <f t="shared" si="279"/>
        <v>0</v>
      </c>
      <c r="EY58" s="48">
        <f t="shared" si="280"/>
        <v>0</v>
      </c>
      <c r="EZ58" s="48">
        <f t="shared" si="281"/>
        <v>0</v>
      </c>
      <c r="FA58" s="48">
        <f t="shared" si="282"/>
        <v>0</v>
      </c>
      <c r="FB58" s="48">
        <f t="shared" si="283"/>
        <v>0</v>
      </c>
      <c r="FC58" s="48">
        <f t="shared" si="284"/>
        <v>0</v>
      </c>
      <c r="FD58" s="48">
        <f t="shared" si="285"/>
        <v>0</v>
      </c>
      <c r="FE58" s="48">
        <f t="shared" si="286"/>
        <v>0</v>
      </c>
      <c r="FF58" s="48">
        <f t="shared" si="287"/>
        <v>0</v>
      </c>
      <c r="FG58" s="48">
        <f t="shared" si="288"/>
        <v>0</v>
      </c>
      <c r="FH58" s="48">
        <f t="shared" si="289"/>
        <v>0</v>
      </c>
      <c r="FI58" s="48">
        <f t="shared" si="290"/>
        <v>0</v>
      </c>
      <c r="FJ58" s="48">
        <f t="shared" si="291"/>
        <v>0</v>
      </c>
      <c r="FK58" s="48">
        <f t="shared" si="292"/>
        <v>0</v>
      </c>
      <c r="FL58" s="48">
        <f t="shared" si="293"/>
        <v>0</v>
      </c>
      <c r="FM58" s="48">
        <f t="shared" si="294"/>
        <v>0</v>
      </c>
      <c r="FN58" s="48">
        <f t="shared" si="295"/>
        <v>0</v>
      </c>
      <c r="FO58" s="48">
        <f t="shared" si="296"/>
        <v>0</v>
      </c>
      <c r="FP58" s="48">
        <f t="shared" si="297"/>
        <v>0</v>
      </c>
      <c r="FQ58" s="48">
        <f t="shared" si="298"/>
        <v>0</v>
      </c>
      <c r="FR58" s="48">
        <f t="shared" si="299"/>
        <v>0</v>
      </c>
      <c r="FS58" s="48">
        <f t="shared" si="300"/>
        <v>0</v>
      </c>
      <c r="FT58" s="48">
        <f t="shared" si="301"/>
        <v>0</v>
      </c>
      <c r="FU58" s="48">
        <f t="shared" si="302"/>
        <v>0</v>
      </c>
      <c r="FV58" s="48">
        <f t="shared" si="303"/>
        <v>0</v>
      </c>
      <c r="FW58" s="48">
        <f t="shared" si="304"/>
        <v>0</v>
      </c>
      <c r="FX58" s="48">
        <f t="shared" si="305"/>
        <v>0</v>
      </c>
      <c r="FY58" s="48">
        <f t="shared" si="306"/>
        <v>0</v>
      </c>
      <c r="FZ58" s="48">
        <f t="shared" si="307"/>
        <v>0</v>
      </c>
      <c r="GA58" s="48">
        <f t="shared" si="308"/>
        <v>0</v>
      </c>
      <c r="GB58" s="48">
        <f t="shared" si="309"/>
        <v>0</v>
      </c>
      <c r="GC58" s="48">
        <f t="shared" si="310"/>
        <v>0</v>
      </c>
      <c r="GG58">
        <f t="shared" si="311"/>
        <v>0</v>
      </c>
    </row>
    <row r="59" spans="1:189" x14ac:dyDescent="0.25">
      <c r="A59" s="690"/>
      <c r="B59" s="690"/>
      <c r="C59" s="690"/>
      <c r="D59" s="690"/>
      <c r="E59" s="690"/>
      <c r="F59" s="690"/>
      <c r="G59" s="889"/>
      <c r="H59" s="690"/>
      <c r="I59" s="690"/>
      <c r="J59" s="690"/>
      <c r="K59" s="690"/>
      <c r="L59" s="690"/>
      <c r="M59" s="690"/>
      <c r="N59" s="507" t="str">
        <f t="shared" si="159"/>
        <v/>
      </c>
      <c r="O59" s="690"/>
      <c r="P59" s="507" t="str">
        <f t="shared" si="158"/>
        <v/>
      </c>
      <c r="Q59" s="690"/>
      <c r="R59" s="690"/>
      <c r="S59" s="690"/>
      <c r="T59" s="690"/>
      <c r="U59">
        <f t="shared" si="312"/>
        <v>0</v>
      </c>
      <c r="V59">
        <f t="shared" si="313"/>
        <v>0</v>
      </c>
      <c r="X59">
        <f t="shared" si="314"/>
        <v>0</v>
      </c>
      <c r="Y59">
        <f t="shared" si="315"/>
        <v>0</v>
      </c>
      <c r="Z59">
        <f t="shared" si="316"/>
        <v>0</v>
      </c>
      <c r="AA59">
        <f t="shared" si="317"/>
        <v>0</v>
      </c>
      <c r="AB59" s="25"/>
      <c r="AC59" s="25"/>
      <c r="AD59" s="25"/>
      <c r="AF59" s="48" t="s">
        <v>714</v>
      </c>
      <c r="AG59" s="689"/>
      <c r="AH59" s="689"/>
      <c r="AI59" s="48">
        <f t="shared" si="160"/>
        <v>0</v>
      </c>
      <c r="AJ59" s="48">
        <f t="shared" si="161"/>
        <v>0</v>
      </c>
      <c r="AK59" s="48">
        <f t="shared" si="162"/>
        <v>0</v>
      </c>
      <c r="AL59" s="48">
        <f t="shared" si="163"/>
        <v>0</v>
      </c>
      <c r="AM59" s="48">
        <f t="shared" si="164"/>
        <v>0</v>
      </c>
      <c r="AN59" s="48">
        <f t="shared" si="165"/>
        <v>0</v>
      </c>
      <c r="AO59" s="48">
        <f t="shared" si="166"/>
        <v>0</v>
      </c>
      <c r="AP59" s="48">
        <f t="shared" si="167"/>
        <v>0</v>
      </c>
      <c r="AQ59" s="48">
        <f t="shared" si="168"/>
        <v>0</v>
      </c>
      <c r="AR59" s="48">
        <f t="shared" si="169"/>
        <v>0</v>
      </c>
      <c r="AS59" s="48">
        <f t="shared" si="170"/>
        <v>0</v>
      </c>
      <c r="AT59" s="48">
        <f t="shared" si="171"/>
        <v>0</v>
      </c>
      <c r="AU59" s="48">
        <f t="shared" si="172"/>
        <v>0</v>
      </c>
      <c r="AV59" s="48">
        <f t="shared" si="173"/>
        <v>0</v>
      </c>
      <c r="AW59" s="48">
        <f t="shared" si="174"/>
        <v>0</v>
      </c>
      <c r="AX59" s="48">
        <f t="shared" si="175"/>
        <v>0</v>
      </c>
      <c r="AY59" s="48">
        <f t="shared" si="176"/>
        <v>0</v>
      </c>
      <c r="AZ59" s="48">
        <f t="shared" si="177"/>
        <v>0</v>
      </c>
      <c r="BA59" s="48">
        <f t="shared" si="178"/>
        <v>0</v>
      </c>
      <c r="BB59" s="48">
        <f t="shared" si="179"/>
        <v>0</v>
      </c>
      <c r="BC59" s="48">
        <f t="shared" si="180"/>
        <v>0</v>
      </c>
      <c r="BD59" s="48">
        <f t="shared" si="181"/>
        <v>0</v>
      </c>
      <c r="BE59" s="48">
        <f t="shared" si="182"/>
        <v>0</v>
      </c>
      <c r="BF59" s="48">
        <f t="shared" si="183"/>
        <v>0</v>
      </c>
      <c r="BG59" s="48">
        <f t="shared" si="184"/>
        <v>0</v>
      </c>
      <c r="BH59" s="48">
        <f t="shared" si="185"/>
        <v>0</v>
      </c>
      <c r="BI59" s="48">
        <f t="shared" si="186"/>
        <v>0</v>
      </c>
      <c r="BJ59" s="48">
        <f t="shared" si="187"/>
        <v>0</v>
      </c>
      <c r="BK59" s="48">
        <f t="shared" si="188"/>
        <v>0</v>
      </c>
      <c r="BL59" s="48">
        <f t="shared" si="189"/>
        <v>0</v>
      </c>
      <c r="BM59" s="48">
        <f t="shared" si="190"/>
        <v>0</v>
      </c>
      <c r="BN59" s="48">
        <f t="shared" si="191"/>
        <v>0</v>
      </c>
      <c r="BO59" s="48">
        <f t="shared" si="192"/>
        <v>0</v>
      </c>
      <c r="BP59" s="48">
        <f t="shared" si="193"/>
        <v>0</v>
      </c>
      <c r="BQ59" s="48">
        <f t="shared" si="194"/>
        <v>0</v>
      </c>
      <c r="BR59" s="48">
        <f t="shared" si="195"/>
        <v>0</v>
      </c>
      <c r="BS59" s="48">
        <f t="shared" si="196"/>
        <v>0</v>
      </c>
      <c r="BT59" s="48">
        <f t="shared" si="197"/>
        <v>0</v>
      </c>
      <c r="BU59" s="48">
        <f t="shared" si="198"/>
        <v>0</v>
      </c>
      <c r="BV59" s="48">
        <f t="shared" si="199"/>
        <v>0</v>
      </c>
      <c r="BW59" s="48">
        <f t="shared" si="200"/>
        <v>0</v>
      </c>
      <c r="BX59" s="48">
        <f t="shared" si="201"/>
        <v>0</v>
      </c>
      <c r="BY59" s="48">
        <f t="shared" si="202"/>
        <v>0</v>
      </c>
      <c r="BZ59" s="48">
        <f t="shared" si="203"/>
        <v>0</v>
      </c>
      <c r="CA59" s="48">
        <f t="shared" si="204"/>
        <v>0</v>
      </c>
      <c r="CB59" s="48">
        <f t="shared" si="205"/>
        <v>0</v>
      </c>
      <c r="CC59" s="48">
        <f t="shared" si="206"/>
        <v>0</v>
      </c>
      <c r="CD59" s="48">
        <f t="shared" si="207"/>
        <v>0</v>
      </c>
      <c r="CE59" s="48">
        <f t="shared" si="208"/>
        <v>0</v>
      </c>
      <c r="CF59" s="48">
        <f t="shared" si="209"/>
        <v>0</v>
      </c>
      <c r="CG59" s="48">
        <f t="shared" si="210"/>
        <v>0</v>
      </c>
      <c r="CH59" s="48">
        <f t="shared" si="211"/>
        <v>0</v>
      </c>
      <c r="CI59" s="48">
        <f t="shared" si="212"/>
        <v>0</v>
      </c>
      <c r="CJ59" s="48">
        <f t="shared" si="213"/>
        <v>0</v>
      </c>
      <c r="CK59" s="48">
        <f t="shared" si="214"/>
        <v>0</v>
      </c>
      <c r="CL59" s="48">
        <f t="shared" si="215"/>
        <v>0</v>
      </c>
      <c r="CM59" s="48">
        <f t="shared" si="216"/>
        <v>0</v>
      </c>
      <c r="CN59" s="48">
        <f t="shared" si="217"/>
        <v>0</v>
      </c>
      <c r="CO59" s="48">
        <f t="shared" si="218"/>
        <v>0</v>
      </c>
      <c r="CP59" s="48">
        <f t="shared" si="219"/>
        <v>0</v>
      </c>
      <c r="CQ59" s="48">
        <f t="shared" si="220"/>
        <v>0</v>
      </c>
      <c r="CR59" s="48">
        <f t="shared" si="221"/>
        <v>0</v>
      </c>
      <c r="CS59" s="48">
        <f t="shared" si="222"/>
        <v>0</v>
      </c>
      <c r="CT59" s="48">
        <f t="shared" si="223"/>
        <v>0</v>
      </c>
      <c r="CU59" s="48">
        <f t="shared" si="224"/>
        <v>0</v>
      </c>
      <c r="CV59" s="48">
        <f t="shared" si="225"/>
        <v>0</v>
      </c>
      <c r="CW59" s="48">
        <f t="shared" si="226"/>
        <v>0</v>
      </c>
      <c r="CX59" s="48">
        <f t="shared" si="227"/>
        <v>0</v>
      </c>
      <c r="CY59" s="48">
        <f t="shared" si="228"/>
        <v>0</v>
      </c>
      <c r="CZ59" s="48">
        <f t="shared" si="229"/>
        <v>0</v>
      </c>
      <c r="DA59" s="48">
        <f t="shared" si="230"/>
        <v>0</v>
      </c>
      <c r="DB59" s="48">
        <f t="shared" si="231"/>
        <v>0</v>
      </c>
      <c r="DC59" s="48">
        <f t="shared" si="232"/>
        <v>0</v>
      </c>
      <c r="DD59" s="48">
        <f t="shared" si="233"/>
        <v>0</v>
      </c>
      <c r="DE59" s="48">
        <f t="shared" si="234"/>
        <v>0</v>
      </c>
      <c r="DF59" s="48">
        <f t="shared" si="235"/>
        <v>0</v>
      </c>
      <c r="DG59" s="48">
        <f t="shared" si="236"/>
        <v>0</v>
      </c>
      <c r="DH59" s="48">
        <f t="shared" si="237"/>
        <v>0</v>
      </c>
      <c r="DI59" s="48">
        <f t="shared" si="238"/>
        <v>0</v>
      </c>
      <c r="DJ59" s="48">
        <f t="shared" si="239"/>
        <v>0</v>
      </c>
      <c r="DK59" s="48">
        <f t="shared" si="240"/>
        <v>0</v>
      </c>
      <c r="DL59" s="48">
        <f t="shared" si="241"/>
        <v>0</v>
      </c>
      <c r="DM59" s="48">
        <f t="shared" si="242"/>
        <v>0</v>
      </c>
      <c r="DN59" s="48">
        <f t="shared" si="243"/>
        <v>0</v>
      </c>
      <c r="DO59" s="48">
        <f t="shared" si="244"/>
        <v>0</v>
      </c>
      <c r="DP59" s="48">
        <f t="shared" si="245"/>
        <v>0</v>
      </c>
      <c r="DQ59" s="48">
        <f t="shared" si="246"/>
        <v>0</v>
      </c>
      <c r="DR59" s="48">
        <f t="shared" si="247"/>
        <v>0</v>
      </c>
      <c r="DS59" s="48">
        <f t="shared" si="248"/>
        <v>0</v>
      </c>
      <c r="DT59" s="48">
        <f t="shared" si="249"/>
        <v>0</v>
      </c>
      <c r="DU59" s="48">
        <f t="shared" si="250"/>
        <v>0</v>
      </c>
      <c r="DV59" s="48">
        <f t="shared" si="251"/>
        <v>0</v>
      </c>
      <c r="DW59" s="48">
        <f t="shared" si="252"/>
        <v>0</v>
      </c>
      <c r="DX59" s="48">
        <f t="shared" si="253"/>
        <v>0</v>
      </c>
      <c r="DY59" s="48">
        <f t="shared" si="254"/>
        <v>0</v>
      </c>
      <c r="DZ59" s="48">
        <f t="shared" si="255"/>
        <v>0</v>
      </c>
      <c r="EA59" s="48">
        <f t="shared" si="256"/>
        <v>0</v>
      </c>
      <c r="EB59" s="48">
        <f t="shared" si="257"/>
        <v>0</v>
      </c>
      <c r="EC59" s="48">
        <f t="shared" si="258"/>
        <v>0</v>
      </c>
      <c r="ED59" s="48">
        <f t="shared" si="259"/>
        <v>0</v>
      </c>
      <c r="EE59" s="48">
        <f t="shared" si="260"/>
        <v>0</v>
      </c>
      <c r="EF59" s="48">
        <f t="shared" si="261"/>
        <v>0</v>
      </c>
      <c r="EG59" s="48">
        <f t="shared" si="262"/>
        <v>0</v>
      </c>
      <c r="EH59" s="48">
        <f t="shared" si="263"/>
        <v>0</v>
      </c>
      <c r="EI59" s="48">
        <f t="shared" si="264"/>
        <v>0</v>
      </c>
      <c r="EJ59" s="48">
        <f t="shared" si="265"/>
        <v>0</v>
      </c>
      <c r="EK59" s="48">
        <f t="shared" si="266"/>
        <v>0</v>
      </c>
      <c r="EL59" s="48">
        <f t="shared" si="267"/>
        <v>0</v>
      </c>
      <c r="EM59" s="48">
        <f t="shared" si="268"/>
        <v>0</v>
      </c>
      <c r="EN59" s="48">
        <f t="shared" si="269"/>
        <v>0</v>
      </c>
      <c r="EO59" s="48">
        <f t="shared" si="270"/>
        <v>0</v>
      </c>
      <c r="EP59" s="48">
        <f t="shared" si="271"/>
        <v>0</v>
      </c>
      <c r="EQ59" s="48">
        <f t="shared" si="272"/>
        <v>0</v>
      </c>
      <c r="ER59" s="48">
        <f t="shared" si="273"/>
        <v>0</v>
      </c>
      <c r="ES59" s="48">
        <f t="shared" si="274"/>
        <v>0</v>
      </c>
      <c r="ET59" s="48">
        <f t="shared" si="275"/>
        <v>0</v>
      </c>
      <c r="EU59" s="48">
        <f t="shared" si="276"/>
        <v>0</v>
      </c>
      <c r="EV59" s="48">
        <f t="shared" si="277"/>
        <v>0</v>
      </c>
      <c r="EW59" s="48">
        <f t="shared" si="278"/>
        <v>0</v>
      </c>
      <c r="EX59" s="48">
        <f t="shared" si="279"/>
        <v>0</v>
      </c>
      <c r="EY59" s="48">
        <f t="shared" si="280"/>
        <v>0</v>
      </c>
      <c r="EZ59" s="48">
        <f t="shared" si="281"/>
        <v>0</v>
      </c>
      <c r="FA59" s="48">
        <f t="shared" si="282"/>
        <v>0</v>
      </c>
      <c r="FB59" s="48">
        <f t="shared" si="283"/>
        <v>0</v>
      </c>
      <c r="FC59" s="48">
        <f t="shared" si="284"/>
        <v>0</v>
      </c>
      <c r="FD59" s="48">
        <f t="shared" si="285"/>
        <v>0</v>
      </c>
      <c r="FE59" s="48">
        <f t="shared" si="286"/>
        <v>0</v>
      </c>
      <c r="FF59" s="48">
        <f t="shared" si="287"/>
        <v>0</v>
      </c>
      <c r="FG59" s="48">
        <f t="shared" si="288"/>
        <v>0</v>
      </c>
      <c r="FH59" s="48">
        <f t="shared" si="289"/>
        <v>0</v>
      </c>
      <c r="FI59" s="48">
        <f t="shared" si="290"/>
        <v>0</v>
      </c>
      <c r="FJ59" s="48">
        <f t="shared" si="291"/>
        <v>0</v>
      </c>
      <c r="FK59" s="48">
        <f t="shared" si="292"/>
        <v>0</v>
      </c>
      <c r="FL59" s="48">
        <f t="shared" si="293"/>
        <v>0</v>
      </c>
      <c r="FM59" s="48">
        <f t="shared" si="294"/>
        <v>0</v>
      </c>
      <c r="FN59" s="48">
        <f t="shared" si="295"/>
        <v>0</v>
      </c>
      <c r="FO59" s="48">
        <f t="shared" si="296"/>
        <v>0</v>
      </c>
      <c r="FP59" s="48">
        <f t="shared" si="297"/>
        <v>0</v>
      </c>
      <c r="FQ59" s="48">
        <f t="shared" si="298"/>
        <v>0</v>
      </c>
      <c r="FR59" s="48">
        <f t="shared" si="299"/>
        <v>0</v>
      </c>
      <c r="FS59" s="48">
        <f t="shared" si="300"/>
        <v>0</v>
      </c>
      <c r="FT59" s="48">
        <f t="shared" si="301"/>
        <v>0</v>
      </c>
      <c r="FU59" s="48">
        <f t="shared" si="302"/>
        <v>0</v>
      </c>
      <c r="FV59" s="48">
        <f t="shared" si="303"/>
        <v>0</v>
      </c>
      <c r="FW59" s="48">
        <f t="shared" si="304"/>
        <v>0</v>
      </c>
      <c r="FX59" s="48">
        <f t="shared" si="305"/>
        <v>0</v>
      </c>
      <c r="FY59" s="48">
        <f t="shared" si="306"/>
        <v>0</v>
      </c>
      <c r="FZ59" s="48">
        <f t="shared" si="307"/>
        <v>0</v>
      </c>
      <c r="GA59" s="48">
        <f t="shared" si="308"/>
        <v>0</v>
      </c>
      <c r="GB59" s="48">
        <f t="shared" si="309"/>
        <v>0</v>
      </c>
      <c r="GC59" s="48">
        <f t="shared" si="310"/>
        <v>0</v>
      </c>
      <c r="GG59">
        <f t="shared" si="311"/>
        <v>0</v>
      </c>
    </row>
    <row r="60" spans="1:189" x14ac:dyDescent="0.25">
      <c r="A60" s="690"/>
      <c r="B60" s="690"/>
      <c r="C60" s="690"/>
      <c r="D60" s="690"/>
      <c r="E60" s="690"/>
      <c r="F60" s="690"/>
      <c r="G60" s="889"/>
      <c r="H60" s="690"/>
      <c r="I60" s="690"/>
      <c r="J60" s="690"/>
      <c r="K60" s="690"/>
      <c r="L60" s="690"/>
      <c r="M60" s="690"/>
      <c r="N60" s="507" t="str">
        <f t="shared" si="159"/>
        <v/>
      </c>
      <c r="O60" s="690"/>
      <c r="P60" s="507" t="str">
        <f t="shared" si="158"/>
        <v/>
      </c>
      <c r="Q60" s="690"/>
      <c r="R60" s="690"/>
      <c r="S60" s="690"/>
      <c r="T60" s="690"/>
      <c r="U60">
        <f t="shared" si="312"/>
        <v>0</v>
      </c>
      <c r="V60">
        <f t="shared" si="313"/>
        <v>0</v>
      </c>
      <c r="X60">
        <f t="shared" si="314"/>
        <v>0</v>
      </c>
      <c r="Y60">
        <f t="shared" si="315"/>
        <v>0</v>
      </c>
      <c r="Z60">
        <f t="shared" si="316"/>
        <v>0</v>
      </c>
      <c r="AA60">
        <f t="shared" si="317"/>
        <v>0</v>
      </c>
      <c r="AB60" s="25"/>
      <c r="AC60" s="25"/>
      <c r="AD60" s="25"/>
      <c r="AF60" s="48" t="s">
        <v>715</v>
      </c>
      <c r="AG60" s="689"/>
      <c r="AH60" s="689"/>
      <c r="AI60" s="48">
        <f t="shared" si="160"/>
        <v>0</v>
      </c>
      <c r="AJ60" s="48">
        <f t="shared" si="161"/>
        <v>0</v>
      </c>
      <c r="AK60" s="48">
        <f t="shared" si="162"/>
        <v>0</v>
      </c>
      <c r="AL60" s="48">
        <f t="shared" si="163"/>
        <v>0</v>
      </c>
      <c r="AM60" s="48">
        <f t="shared" si="164"/>
        <v>0</v>
      </c>
      <c r="AN60" s="48">
        <f t="shared" si="165"/>
        <v>0</v>
      </c>
      <c r="AO60" s="48">
        <f t="shared" si="166"/>
        <v>0</v>
      </c>
      <c r="AP60" s="48">
        <f t="shared" si="167"/>
        <v>0</v>
      </c>
      <c r="AQ60" s="48">
        <f t="shared" si="168"/>
        <v>0</v>
      </c>
      <c r="AR60" s="48">
        <f t="shared" si="169"/>
        <v>0</v>
      </c>
      <c r="AS60" s="48">
        <f t="shared" si="170"/>
        <v>0</v>
      </c>
      <c r="AT60" s="48">
        <f t="shared" si="171"/>
        <v>0</v>
      </c>
      <c r="AU60" s="48">
        <f t="shared" si="172"/>
        <v>0</v>
      </c>
      <c r="AV60" s="48">
        <f t="shared" si="173"/>
        <v>0</v>
      </c>
      <c r="AW60" s="48">
        <f t="shared" si="174"/>
        <v>0</v>
      </c>
      <c r="AX60" s="48">
        <f t="shared" si="175"/>
        <v>0</v>
      </c>
      <c r="AY60" s="48">
        <f t="shared" si="176"/>
        <v>0</v>
      </c>
      <c r="AZ60" s="48">
        <f t="shared" si="177"/>
        <v>0</v>
      </c>
      <c r="BA60" s="48">
        <f t="shared" si="178"/>
        <v>0</v>
      </c>
      <c r="BB60" s="48">
        <f t="shared" si="179"/>
        <v>0</v>
      </c>
      <c r="BC60" s="48">
        <f t="shared" si="180"/>
        <v>0</v>
      </c>
      <c r="BD60" s="48">
        <f t="shared" si="181"/>
        <v>0</v>
      </c>
      <c r="BE60" s="48">
        <f t="shared" si="182"/>
        <v>0</v>
      </c>
      <c r="BF60" s="48">
        <f t="shared" si="183"/>
        <v>0</v>
      </c>
      <c r="BG60" s="48">
        <f t="shared" si="184"/>
        <v>0</v>
      </c>
      <c r="BH60" s="48">
        <f t="shared" si="185"/>
        <v>0</v>
      </c>
      <c r="BI60" s="48">
        <f t="shared" si="186"/>
        <v>0</v>
      </c>
      <c r="BJ60" s="48">
        <f t="shared" si="187"/>
        <v>0</v>
      </c>
      <c r="BK60" s="48">
        <f t="shared" si="188"/>
        <v>0</v>
      </c>
      <c r="BL60" s="48">
        <f t="shared" si="189"/>
        <v>0</v>
      </c>
      <c r="BM60" s="48">
        <f t="shared" si="190"/>
        <v>0</v>
      </c>
      <c r="BN60" s="48">
        <f t="shared" si="191"/>
        <v>0</v>
      </c>
      <c r="BO60" s="48">
        <f t="shared" si="192"/>
        <v>0</v>
      </c>
      <c r="BP60" s="48">
        <f t="shared" si="193"/>
        <v>0</v>
      </c>
      <c r="BQ60" s="48">
        <f t="shared" si="194"/>
        <v>0</v>
      </c>
      <c r="BR60" s="48">
        <f t="shared" si="195"/>
        <v>0</v>
      </c>
      <c r="BS60" s="48">
        <f t="shared" si="196"/>
        <v>0</v>
      </c>
      <c r="BT60" s="48">
        <f t="shared" si="197"/>
        <v>0</v>
      </c>
      <c r="BU60" s="48">
        <f t="shared" si="198"/>
        <v>0</v>
      </c>
      <c r="BV60" s="48">
        <f t="shared" si="199"/>
        <v>0</v>
      </c>
      <c r="BW60" s="48">
        <f t="shared" si="200"/>
        <v>0</v>
      </c>
      <c r="BX60" s="48">
        <f t="shared" si="201"/>
        <v>0</v>
      </c>
      <c r="BY60" s="48">
        <f t="shared" si="202"/>
        <v>0</v>
      </c>
      <c r="BZ60" s="48">
        <f t="shared" si="203"/>
        <v>0</v>
      </c>
      <c r="CA60" s="48">
        <f t="shared" si="204"/>
        <v>0</v>
      </c>
      <c r="CB60" s="48">
        <f t="shared" si="205"/>
        <v>0</v>
      </c>
      <c r="CC60" s="48">
        <f t="shared" si="206"/>
        <v>0</v>
      </c>
      <c r="CD60" s="48">
        <f t="shared" si="207"/>
        <v>0</v>
      </c>
      <c r="CE60" s="48">
        <f t="shared" si="208"/>
        <v>0</v>
      </c>
      <c r="CF60" s="48">
        <f t="shared" si="209"/>
        <v>0</v>
      </c>
      <c r="CG60" s="48">
        <f t="shared" si="210"/>
        <v>0</v>
      </c>
      <c r="CH60" s="48">
        <f t="shared" si="211"/>
        <v>0</v>
      </c>
      <c r="CI60" s="48">
        <f t="shared" si="212"/>
        <v>0</v>
      </c>
      <c r="CJ60" s="48">
        <f t="shared" si="213"/>
        <v>0</v>
      </c>
      <c r="CK60" s="48">
        <f t="shared" si="214"/>
        <v>0</v>
      </c>
      <c r="CL60" s="48">
        <f t="shared" si="215"/>
        <v>0</v>
      </c>
      <c r="CM60" s="48">
        <f t="shared" si="216"/>
        <v>0</v>
      </c>
      <c r="CN60" s="48">
        <f t="shared" si="217"/>
        <v>0</v>
      </c>
      <c r="CO60" s="48">
        <f t="shared" si="218"/>
        <v>0</v>
      </c>
      <c r="CP60" s="48">
        <f t="shared" si="219"/>
        <v>0</v>
      </c>
      <c r="CQ60" s="48">
        <f t="shared" si="220"/>
        <v>0</v>
      </c>
      <c r="CR60" s="48">
        <f t="shared" si="221"/>
        <v>0</v>
      </c>
      <c r="CS60" s="48">
        <f t="shared" si="222"/>
        <v>0</v>
      </c>
      <c r="CT60" s="48">
        <f t="shared" si="223"/>
        <v>0</v>
      </c>
      <c r="CU60" s="48">
        <f t="shared" si="224"/>
        <v>0</v>
      </c>
      <c r="CV60" s="48">
        <f t="shared" si="225"/>
        <v>0</v>
      </c>
      <c r="CW60" s="48">
        <f t="shared" si="226"/>
        <v>0</v>
      </c>
      <c r="CX60" s="48">
        <f t="shared" si="227"/>
        <v>0</v>
      </c>
      <c r="CY60" s="48">
        <f t="shared" si="228"/>
        <v>0</v>
      </c>
      <c r="CZ60" s="48">
        <f t="shared" si="229"/>
        <v>0</v>
      </c>
      <c r="DA60" s="48">
        <f t="shared" si="230"/>
        <v>0</v>
      </c>
      <c r="DB60" s="48">
        <f t="shared" si="231"/>
        <v>0</v>
      </c>
      <c r="DC60" s="48">
        <f t="shared" si="232"/>
        <v>0</v>
      </c>
      <c r="DD60" s="48">
        <f t="shared" si="233"/>
        <v>0</v>
      </c>
      <c r="DE60" s="48">
        <f t="shared" si="234"/>
        <v>0</v>
      </c>
      <c r="DF60" s="48">
        <f t="shared" si="235"/>
        <v>0</v>
      </c>
      <c r="DG60" s="48">
        <f t="shared" si="236"/>
        <v>0</v>
      </c>
      <c r="DH60" s="48">
        <f t="shared" si="237"/>
        <v>0</v>
      </c>
      <c r="DI60" s="48">
        <f t="shared" si="238"/>
        <v>0</v>
      </c>
      <c r="DJ60" s="48">
        <f t="shared" si="239"/>
        <v>0</v>
      </c>
      <c r="DK60" s="48">
        <f t="shared" si="240"/>
        <v>0</v>
      </c>
      <c r="DL60" s="48">
        <f t="shared" si="241"/>
        <v>0</v>
      </c>
      <c r="DM60" s="48">
        <f t="shared" si="242"/>
        <v>0</v>
      </c>
      <c r="DN60" s="48">
        <f t="shared" si="243"/>
        <v>0</v>
      </c>
      <c r="DO60" s="48">
        <f t="shared" si="244"/>
        <v>0</v>
      </c>
      <c r="DP60" s="48">
        <f t="shared" si="245"/>
        <v>0</v>
      </c>
      <c r="DQ60" s="48">
        <f t="shared" si="246"/>
        <v>0</v>
      </c>
      <c r="DR60" s="48">
        <f t="shared" si="247"/>
        <v>0</v>
      </c>
      <c r="DS60" s="48">
        <f t="shared" si="248"/>
        <v>0</v>
      </c>
      <c r="DT60" s="48">
        <f t="shared" si="249"/>
        <v>0</v>
      </c>
      <c r="DU60" s="48">
        <f t="shared" si="250"/>
        <v>0</v>
      </c>
      <c r="DV60" s="48">
        <f t="shared" si="251"/>
        <v>0</v>
      </c>
      <c r="DW60" s="48">
        <f t="shared" si="252"/>
        <v>0</v>
      </c>
      <c r="DX60" s="48">
        <f t="shared" si="253"/>
        <v>0</v>
      </c>
      <c r="DY60" s="48">
        <f t="shared" si="254"/>
        <v>0</v>
      </c>
      <c r="DZ60" s="48">
        <f t="shared" si="255"/>
        <v>0</v>
      </c>
      <c r="EA60" s="48">
        <f t="shared" si="256"/>
        <v>0</v>
      </c>
      <c r="EB60" s="48">
        <f t="shared" si="257"/>
        <v>0</v>
      </c>
      <c r="EC60" s="48">
        <f t="shared" si="258"/>
        <v>0</v>
      </c>
      <c r="ED60" s="48">
        <f t="shared" si="259"/>
        <v>0</v>
      </c>
      <c r="EE60" s="48">
        <f t="shared" si="260"/>
        <v>0</v>
      </c>
      <c r="EF60" s="48">
        <f t="shared" si="261"/>
        <v>0</v>
      </c>
      <c r="EG60" s="48">
        <f t="shared" si="262"/>
        <v>0</v>
      </c>
      <c r="EH60" s="48">
        <f t="shared" si="263"/>
        <v>0</v>
      </c>
      <c r="EI60" s="48">
        <f t="shared" si="264"/>
        <v>0</v>
      </c>
      <c r="EJ60" s="48">
        <f t="shared" si="265"/>
        <v>0</v>
      </c>
      <c r="EK60" s="48">
        <f t="shared" si="266"/>
        <v>0</v>
      </c>
      <c r="EL60" s="48">
        <f t="shared" si="267"/>
        <v>0</v>
      </c>
      <c r="EM60" s="48">
        <f t="shared" si="268"/>
        <v>0</v>
      </c>
      <c r="EN60" s="48">
        <f t="shared" si="269"/>
        <v>0</v>
      </c>
      <c r="EO60" s="48">
        <f t="shared" si="270"/>
        <v>0</v>
      </c>
      <c r="EP60" s="48">
        <f t="shared" si="271"/>
        <v>0</v>
      </c>
      <c r="EQ60" s="48">
        <f t="shared" si="272"/>
        <v>0</v>
      </c>
      <c r="ER60" s="48">
        <f t="shared" si="273"/>
        <v>0</v>
      </c>
      <c r="ES60" s="48">
        <f t="shared" si="274"/>
        <v>0</v>
      </c>
      <c r="ET60" s="48">
        <f t="shared" si="275"/>
        <v>0</v>
      </c>
      <c r="EU60" s="48">
        <f t="shared" si="276"/>
        <v>0</v>
      </c>
      <c r="EV60" s="48">
        <f t="shared" si="277"/>
        <v>0</v>
      </c>
      <c r="EW60" s="48">
        <f t="shared" si="278"/>
        <v>0</v>
      </c>
      <c r="EX60" s="48">
        <f t="shared" si="279"/>
        <v>0</v>
      </c>
      <c r="EY60" s="48">
        <f t="shared" si="280"/>
        <v>0</v>
      </c>
      <c r="EZ60" s="48">
        <f t="shared" si="281"/>
        <v>0</v>
      </c>
      <c r="FA60" s="48">
        <f t="shared" si="282"/>
        <v>0</v>
      </c>
      <c r="FB60" s="48">
        <f t="shared" si="283"/>
        <v>0</v>
      </c>
      <c r="FC60" s="48">
        <f t="shared" si="284"/>
        <v>0</v>
      </c>
      <c r="FD60" s="48">
        <f t="shared" si="285"/>
        <v>0</v>
      </c>
      <c r="FE60" s="48">
        <f t="shared" si="286"/>
        <v>0</v>
      </c>
      <c r="FF60" s="48">
        <f t="shared" si="287"/>
        <v>0</v>
      </c>
      <c r="FG60" s="48">
        <f t="shared" si="288"/>
        <v>0</v>
      </c>
      <c r="FH60" s="48">
        <f t="shared" si="289"/>
        <v>0</v>
      </c>
      <c r="FI60" s="48">
        <f t="shared" si="290"/>
        <v>0</v>
      </c>
      <c r="FJ60" s="48">
        <f t="shared" si="291"/>
        <v>0</v>
      </c>
      <c r="FK60" s="48">
        <f t="shared" si="292"/>
        <v>0</v>
      </c>
      <c r="FL60" s="48">
        <f t="shared" si="293"/>
        <v>0</v>
      </c>
      <c r="FM60" s="48">
        <f t="shared" si="294"/>
        <v>0</v>
      </c>
      <c r="FN60" s="48">
        <f t="shared" si="295"/>
        <v>0</v>
      </c>
      <c r="FO60" s="48">
        <f t="shared" si="296"/>
        <v>0</v>
      </c>
      <c r="FP60" s="48">
        <f t="shared" si="297"/>
        <v>0</v>
      </c>
      <c r="FQ60" s="48">
        <f t="shared" si="298"/>
        <v>0</v>
      </c>
      <c r="FR60" s="48">
        <f t="shared" si="299"/>
        <v>0</v>
      </c>
      <c r="FS60" s="48">
        <f t="shared" si="300"/>
        <v>0</v>
      </c>
      <c r="FT60" s="48">
        <f t="shared" si="301"/>
        <v>0</v>
      </c>
      <c r="FU60" s="48">
        <f t="shared" si="302"/>
        <v>0</v>
      </c>
      <c r="FV60" s="48">
        <f t="shared" si="303"/>
        <v>0</v>
      </c>
      <c r="FW60" s="48">
        <f t="shared" si="304"/>
        <v>0</v>
      </c>
      <c r="FX60" s="48">
        <f t="shared" si="305"/>
        <v>0</v>
      </c>
      <c r="FY60" s="48">
        <f t="shared" si="306"/>
        <v>0</v>
      </c>
      <c r="FZ60" s="48">
        <f t="shared" si="307"/>
        <v>0</v>
      </c>
      <c r="GA60" s="48">
        <f t="shared" si="308"/>
        <v>0</v>
      </c>
      <c r="GB60" s="48">
        <f t="shared" si="309"/>
        <v>0</v>
      </c>
      <c r="GC60" s="48">
        <f t="shared" si="310"/>
        <v>0</v>
      </c>
      <c r="GG60">
        <f t="shared" si="311"/>
        <v>0</v>
      </c>
    </row>
    <row r="61" spans="1:189" x14ac:dyDescent="0.25">
      <c r="A61" s="690"/>
      <c r="B61" s="690"/>
      <c r="C61" s="690"/>
      <c r="D61" s="690"/>
      <c r="E61" s="690"/>
      <c r="F61" s="690"/>
      <c r="G61" s="889"/>
      <c r="H61" s="690"/>
      <c r="I61" s="690"/>
      <c r="J61" s="690"/>
      <c r="K61" s="690"/>
      <c r="L61" s="690"/>
      <c r="M61" s="690"/>
      <c r="N61" s="507" t="str">
        <f t="shared" si="159"/>
        <v/>
      </c>
      <c r="O61" s="690"/>
      <c r="P61" s="507" t="str">
        <f t="shared" si="158"/>
        <v/>
      </c>
      <c r="Q61" s="690"/>
      <c r="R61" s="690"/>
      <c r="S61" s="690"/>
      <c r="T61" s="690"/>
      <c r="U61">
        <f t="shared" si="312"/>
        <v>0</v>
      </c>
      <c r="V61">
        <f t="shared" si="313"/>
        <v>0</v>
      </c>
      <c r="X61">
        <f t="shared" si="314"/>
        <v>0</v>
      </c>
      <c r="Y61">
        <f t="shared" si="315"/>
        <v>0</v>
      </c>
      <c r="Z61">
        <f t="shared" si="316"/>
        <v>0</v>
      </c>
      <c r="AA61">
        <f t="shared" si="317"/>
        <v>0</v>
      </c>
      <c r="AB61" s="25"/>
      <c r="AC61" s="25"/>
      <c r="AD61" s="25"/>
      <c r="AF61" s="48" t="s">
        <v>716</v>
      </c>
      <c r="AG61" s="689"/>
      <c r="AH61" s="689"/>
      <c r="AI61" s="48">
        <f t="shared" si="160"/>
        <v>0</v>
      </c>
      <c r="AJ61" s="48">
        <f t="shared" si="161"/>
        <v>0</v>
      </c>
      <c r="AK61" s="48">
        <f t="shared" si="162"/>
        <v>0</v>
      </c>
      <c r="AL61" s="48">
        <f t="shared" si="163"/>
        <v>0</v>
      </c>
      <c r="AM61" s="48">
        <f t="shared" si="164"/>
        <v>0</v>
      </c>
      <c r="AN61" s="48">
        <f t="shared" si="165"/>
        <v>0</v>
      </c>
      <c r="AO61" s="48">
        <f t="shared" si="166"/>
        <v>0</v>
      </c>
      <c r="AP61" s="48">
        <f t="shared" si="167"/>
        <v>0</v>
      </c>
      <c r="AQ61" s="48">
        <f t="shared" si="168"/>
        <v>0</v>
      </c>
      <c r="AR61" s="48">
        <f t="shared" si="169"/>
        <v>0</v>
      </c>
      <c r="AS61" s="48">
        <f t="shared" si="170"/>
        <v>0</v>
      </c>
      <c r="AT61" s="48">
        <f t="shared" si="171"/>
        <v>0</v>
      </c>
      <c r="AU61" s="48">
        <f t="shared" si="172"/>
        <v>0</v>
      </c>
      <c r="AV61" s="48">
        <f t="shared" si="173"/>
        <v>0</v>
      </c>
      <c r="AW61" s="48">
        <f t="shared" si="174"/>
        <v>0</v>
      </c>
      <c r="AX61" s="48">
        <f t="shared" si="175"/>
        <v>0</v>
      </c>
      <c r="AY61" s="48">
        <f t="shared" si="176"/>
        <v>0</v>
      </c>
      <c r="AZ61" s="48">
        <f t="shared" si="177"/>
        <v>0</v>
      </c>
      <c r="BA61" s="48">
        <f t="shared" si="178"/>
        <v>0</v>
      </c>
      <c r="BB61" s="48">
        <f t="shared" si="179"/>
        <v>0</v>
      </c>
      <c r="BC61" s="48">
        <f t="shared" si="180"/>
        <v>0</v>
      </c>
      <c r="BD61" s="48">
        <f t="shared" si="181"/>
        <v>0</v>
      </c>
      <c r="BE61" s="48">
        <f t="shared" si="182"/>
        <v>0</v>
      </c>
      <c r="BF61" s="48">
        <f t="shared" si="183"/>
        <v>0</v>
      </c>
      <c r="BG61" s="48">
        <f t="shared" si="184"/>
        <v>0</v>
      </c>
      <c r="BH61" s="48">
        <f t="shared" si="185"/>
        <v>0</v>
      </c>
      <c r="BI61" s="48">
        <f t="shared" si="186"/>
        <v>0</v>
      </c>
      <c r="BJ61" s="48">
        <f t="shared" si="187"/>
        <v>0</v>
      </c>
      <c r="BK61" s="48">
        <f t="shared" si="188"/>
        <v>0</v>
      </c>
      <c r="BL61" s="48">
        <f t="shared" si="189"/>
        <v>0</v>
      </c>
      <c r="BM61" s="48">
        <f t="shared" si="190"/>
        <v>0</v>
      </c>
      <c r="BN61" s="48">
        <f t="shared" si="191"/>
        <v>0</v>
      </c>
      <c r="BO61" s="48">
        <f t="shared" si="192"/>
        <v>0</v>
      </c>
      <c r="BP61" s="48">
        <f t="shared" si="193"/>
        <v>0</v>
      </c>
      <c r="BQ61" s="48">
        <f t="shared" si="194"/>
        <v>0</v>
      </c>
      <c r="BR61" s="48">
        <f t="shared" si="195"/>
        <v>0</v>
      </c>
      <c r="BS61" s="48">
        <f t="shared" si="196"/>
        <v>0</v>
      </c>
      <c r="BT61" s="48">
        <f t="shared" si="197"/>
        <v>0</v>
      </c>
      <c r="BU61" s="48">
        <f t="shared" si="198"/>
        <v>0</v>
      </c>
      <c r="BV61" s="48">
        <f t="shared" si="199"/>
        <v>0</v>
      </c>
      <c r="BW61" s="48">
        <f t="shared" si="200"/>
        <v>0</v>
      </c>
      <c r="BX61" s="48">
        <f t="shared" si="201"/>
        <v>0</v>
      </c>
      <c r="BY61" s="48">
        <f t="shared" si="202"/>
        <v>0</v>
      </c>
      <c r="BZ61" s="48">
        <f t="shared" si="203"/>
        <v>0</v>
      </c>
      <c r="CA61" s="48">
        <f t="shared" si="204"/>
        <v>0</v>
      </c>
      <c r="CB61" s="48">
        <f t="shared" si="205"/>
        <v>0</v>
      </c>
      <c r="CC61" s="48">
        <f t="shared" si="206"/>
        <v>0</v>
      </c>
      <c r="CD61" s="48">
        <f t="shared" si="207"/>
        <v>0</v>
      </c>
      <c r="CE61" s="48">
        <f t="shared" si="208"/>
        <v>0</v>
      </c>
      <c r="CF61" s="48">
        <f t="shared" si="209"/>
        <v>0</v>
      </c>
      <c r="CG61" s="48">
        <f t="shared" si="210"/>
        <v>0</v>
      </c>
      <c r="CH61" s="48">
        <f t="shared" si="211"/>
        <v>0</v>
      </c>
      <c r="CI61" s="48">
        <f t="shared" si="212"/>
        <v>0</v>
      </c>
      <c r="CJ61" s="48">
        <f t="shared" si="213"/>
        <v>0</v>
      </c>
      <c r="CK61" s="48">
        <f t="shared" si="214"/>
        <v>0</v>
      </c>
      <c r="CL61" s="48">
        <f t="shared" si="215"/>
        <v>0</v>
      </c>
      <c r="CM61" s="48">
        <f t="shared" si="216"/>
        <v>0</v>
      </c>
      <c r="CN61" s="48">
        <f t="shared" si="217"/>
        <v>0</v>
      </c>
      <c r="CO61" s="48">
        <f t="shared" si="218"/>
        <v>0</v>
      </c>
      <c r="CP61" s="48">
        <f t="shared" si="219"/>
        <v>0</v>
      </c>
      <c r="CQ61" s="48">
        <f t="shared" si="220"/>
        <v>0</v>
      </c>
      <c r="CR61" s="48">
        <f t="shared" si="221"/>
        <v>0</v>
      </c>
      <c r="CS61" s="48">
        <f t="shared" si="222"/>
        <v>0</v>
      </c>
      <c r="CT61" s="48">
        <f t="shared" si="223"/>
        <v>0</v>
      </c>
      <c r="CU61" s="48">
        <f t="shared" si="224"/>
        <v>0</v>
      </c>
      <c r="CV61" s="48">
        <f t="shared" si="225"/>
        <v>0</v>
      </c>
      <c r="CW61" s="48">
        <f t="shared" si="226"/>
        <v>0</v>
      </c>
      <c r="CX61" s="48">
        <f t="shared" si="227"/>
        <v>0</v>
      </c>
      <c r="CY61" s="48">
        <f t="shared" si="228"/>
        <v>0</v>
      </c>
      <c r="CZ61" s="48">
        <f t="shared" si="229"/>
        <v>0</v>
      </c>
      <c r="DA61" s="48">
        <f t="shared" si="230"/>
        <v>0</v>
      </c>
      <c r="DB61" s="48">
        <f t="shared" si="231"/>
        <v>0</v>
      </c>
      <c r="DC61" s="48">
        <f t="shared" si="232"/>
        <v>0</v>
      </c>
      <c r="DD61" s="48">
        <f t="shared" si="233"/>
        <v>0</v>
      </c>
      <c r="DE61" s="48">
        <f t="shared" si="234"/>
        <v>0</v>
      </c>
      <c r="DF61" s="48">
        <f t="shared" si="235"/>
        <v>0</v>
      </c>
      <c r="DG61" s="48">
        <f t="shared" si="236"/>
        <v>0</v>
      </c>
      <c r="DH61" s="48">
        <f t="shared" si="237"/>
        <v>0</v>
      </c>
      <c r="DI61" s="48">
        <f t="shared" si="238"/>
        <v>0</v>
      </c>
      <c r="DJ61" s="48">
        <f t="shared" si="239"/>
        <v>0</v>
      </c>
      <c r="DK61" s="48">
        <f t="shared" si="240"/>
        <v>0</v>
      </c>
      <c r="DL61" s="48">
        <f t="shared" si="241"/>
        <v>0</v>
      </c>
      <c r="DM61" s="48">
        <f t="shared" si="242"/>
        <v>0</v>
      </c>
      <c r="DN61" s="48">
        <f t="shared" si="243"/>
        <v>0</v>
      </c>
      <c r="DO61" s="48">
        <f t="shared" si="244"/>
        <v>0</v>
      </c>
      <c r="DP61" s="48">
        <f t="shared" si="245"/>
        <v>0</v>
      </c>
      <c r="DQ61" s="48">
        <f t="shared" si="246"/>
        <v>0</v>
      </c>
      <c r="DR61" s="48">
        <f t="shared" si="247"/>
        <v>0</v>
      </c>
      <c r="DS61" s="48">
        <f t="shared" si="248"/>
        <v>0</v>
      </c>
      <c r="DT61" s="48">
        <f t="shared" si="249"/>
        <v>0</v>
      </c>
      <c r="DU61" s="48">
        <f t="shared" si="250"/>
        <v>0</v>
      </c>
      <c r="DV61" s="48">
        <f t="shared" si="251"/>
        <v>0</v>
      </c>
      <c r="DW61" s="48">
        <f t="shared" si="252"/>
        <v>0</v>
      </c>
      <c r="DX61" s="48">
        <f t="shared" si="253"/>
        <v>0</v>
      </c>
      <c r="DY61" s="48">
        <f t="shared" si="254"/>
        <v>0</v>
      </c>
      <c r="DZ61" s="48">
        <f t="shared" si="255"/>
        <v>0</v>
      </c>
      <c r="EA61" s="48">
        <f t="shared" si="256"/>
        <v>0</v>
      </c>
      <c r="EB61" s="48">
        <f t="shared" si="257"/>
        <v>0</v>
      </c>
      <c r="EC61" s="48">
        <f t="shared" si="258"/>
        <v>0</v>
      </c>
      <c r="ED61" s="48">
        <f t="shared" si="259"/>
        <v>0</v>
      </c>
      <c r="EE61" s="48">
        <f t="shared" si="260"/>
        <v>0</v>
      </c>
      <c r="EF61" s="48">
        <f t="shared" si="261"/>
        <v>0</v>
      </c>
      <c r="EG61" s="48">
        <f t="shared" si="262"/>
        <v>0</v>
      </c>
      <c r="EH61" s="48">
        <f t="shared" si="263"/>
        <v>0</v>
      </c>
      <c r="EI61" s="48">
        <f t="shared" si="264"/>
        <v>0</v>
      </c>
      <c r="EJ61" s="48">
        <f t="shared" si="265"/>
        <v>0</v>
      </c>
      <c r="EK61" s="48">
        <f t="shared" si="266"/>
        <v>0</v>
      </c>
      <c r="EL61" s="48">
        <f t="shared" si="267"/>
        <v>0</v>
      </c>
      <c r="EM61" s="48">
        <f t="shared" si="268"/>
        <v>0</v>
      </c>
      <c r="EN61" s="48">
        <f t="shared" si="269"/>
        <v>0</v>
      </c>
      <c r="EO61" s="48">
        <f t="shared" si="270"/>
        <v>0</v>
      </c>
      <c r="EP61" s="48">
        <f t="shared" si="271"/>
        <v>0</v>
      </c>
      <c r="EQ61" s="48">
        <f t="shared" si="272"/>
        <v>0</v>
      </c>
      <c r="ER61" s="48">
        <f t="shared" si="273"/>
        <v>0</v>
      </c>
      <c r="ES61" s="48">
        <f t="shared" si="274"/>
        <v>0</v>
      </c>
      <c r="ET61" s="48">
        <f t="shared" si="275"/>
        <v>0</v>
      </c>
      <c r="EU61" s="48">
        <f t="shared" si="276"/>
        <v>0</v>
      </c>
      <c r="EV61" s="48">
        <f t="shared" si="277"/>
        <v>0</v>
      </c>
      <c r="EW61" s="48">
        <f t="shared" si="278"/>
        <v>0</v>
      </c>
      <c r="EX61" s="48">
        <f t="shared" si="279"/>
        <v>0</v>
      </c>
      <c r="EY61" s="48">
        <f t="shared" si="280"/>
        <v>0</v>
      </c>
      <c r="EZ61" s="48">
        <f t="shared" si="281"/>
        <v>0</v>
      </c>
      <c r="FA61" s="48">
        <f t="shared" si="282"/>
        <v>0</v>
      </c>
      <c r="FB61" s="48">
        <f t="shared" si="283"/>
        <v>0</v>
      </c>
      <c r="FC61" s="48">
        <f t="shared" si="284"/>
        <v>0</v>
      </c>
      <c r="FD61" s="48">
        <f t="shared" si="285"/>
        <v>0</v>
      </c>
      <c r="FE61" s="48">
        <f t="shared" si="286"/>
        <v>0</v>
      </c>
      <c r="FF61" s="48">
        <f t="shared" si="287"/>
        <v>0</v>
      </c>
      <c r="FG61" s="48">
        <f t="shared" si="288"/>
        <v>0</v>
      </c>
      <c r="FH61" s="48">
        <f t="shared" si="289"/>
        <v>0</v>
      </c>
      <c r="FI61" s="48">
        <f t="shared" si="290"/>
        <v>0</v>
      </c>
      <c r="FJ61" s="48">
        <f t="shared" si="291"/>
        <v>0</v>
      </c>
      <c r="FK61" s="48">
        <f t="shared" si="292"/>
        <v>0</v>
      </c>
      <c r="FL61" s="48">
        <f t="shared" si="293"/>
        <v>0</v>
      </c>
      <c r="FM61" s="48">
        <f t="shared" si="294"/>
        <v>0</v>
      </c>
      <c r="FN61" s="48">
        <f t="shared" si="295"/>
        <v>0</v>
      </c>
      <c r="FO61" s="48">
        <f t="shared" si="296"/>
        <v>0</v>
      </c>
      <c r="FP61" s="48">
        <f t="shared" si="297"/>
        <v>0</v>
      </c>
      <c r="FQ61" s="48">
        <f t="shared" si="298"/>
        <v>0</v>
      </c>
      <c r="FR61" s="48">
        <f t="shared" si="299"/>
        <v>0</v>
      </c>
      <c r="FS61" s="48">
        <f t="shared" si="300"/>
        <v>0</v>
      </c>
      <c r="FT61" s="48">
        <f t="shared" si="301"/>
        <v>0</v>
      </c>
      <c r="FU61" s="48">
        <f t="shared" si="302"/>
        <v>0</v>
      </c>
      <c r="FV61" s="48">
        <f t="shared" si="303"/>
        <v>0</v>
      </c>
      <c r="FW61" s="48">
        <f t="shared" si="304"/>
        <v>0</v>
      </c>
      <c r="FX61" s="48">
        <f t="shared" si="305"/>
        <v>0</v>
      </c>
      <c r="FY61" s="48">
        <f t="shared" si="306"/>
        <v>0</v>
      </c>
      <c r="FZ61" s="48">
        <f t="shared" si="307"/>
        <v>0</v>
      </c>
      <c r="GA61" s="48">
        <f t="shared" si="308"/>
        <v>0</v>
      </c>
      <c r="GB61" s="48">
        <f t="shared" si="309"/>
        <v>0</v>
      </c>
      <c r="GC61" s="48">
        <f t="shared" si="310"/>
        <v>0</v>
      </c>
      <c r="GG61">
        <f t="shared" si="311"/>
        <v>0</v>
      </c>
    </row>
    <row r="62" spans="1:189" x14ac:dyDescent="0.25">
      <c r="A62" s="690"/>
      <c r="B62" s="690"/>
      <c r="C62" s="690"/>
      <c r="D62" s="690"/>
      <c r="E62" s="690"/>
      <c r="F62" s="690"/>
      <c r="G62" s="889"/>
      <c r="H62" s="690"/>
      <c r="I62" s="690"/>
      <c r="J62" s="690"/>
      <c r="K62" s="690"/>
      <c r="L62" s="690"/>
      <c r="M62" s="690"/>
      <c r="N62" s="507" t="str">
        <f t="shared" si="159"/>
        <v/>
      </c>
      <c r="O62" s="690"/>
      <c r="P62" s="507" t="str">
        <f t="shared" si="158"/>
        <v/>
      </c>
      <c r="Q62" s="690"/>
      <c r="R62" s="690"/>
      <c r="S62" s="690"/>
      <c r="T62" s="690"/>
      <c r="U62">
        <f t="shared" si="312"/>
        <v>0</v>
      </c>
      <c r="V62">
        <f t="shared" si="313"/>
        <v>0</v>
      </c>
      <c r="X62">
        <f t="shared" si="314"/>
        <v>0</v>
      </c>
      <c r="Y62">
        <f t="shared" si="315"/>
        <v>0</v>
      </c>
      <c r="Z62">
        <f t="shared" si="316"/>
        <v>0</v>
      </c>
      <c r="AA62">
        <f t="shared" si="317"/>
        <v>0</v>
      </c>
      <c r="AB62" s="25"/>
      <c r="AC62" s="25"/>
      <c r="AD62" s="25"/>
      <c r="AF62" s="48" t="s">
        <v>717</v>
      </c>
      <c r="AG62" s="689"/>
      <c r="AH62" s="689"/>
      <c r="AI62" s="48">
        <f t="shared" si="160"/>
        <v>0</v>
      </c>
      <c r="AJ62" s="48">
        <f t="shared" si="161"/>
        <v>0</v>
      </c>
      <c r="AK62" s="48">
        <f t="shared" si="162"/>
        <v>0</v>
      </c>
      <c r="AL62" s="48">
        <f t="shared" si="163"/>
        <v>0</v>
      </c>
      <c r="AM62" s="48">
        <f t="shared" si="164"/>
        <v>0</v>
      </c>
      <c r="AN62" s="48">
        <f t="shared" si="165"/>
        <v>0</v>
      </c>
      <c r="AO62" s="48">
        <f t="shared" si="166"/>
        <v>0</v>
      </c>
      <c r="AP62" s="48">
        <f t="shared" si="167"/>
        <v>0</v>
      </c>
      <c r="AQ62" s="48">
        <f t="shared" si="168"/>
        <v>0</v>
      </c>
      <c r="AR62" s="48">
        <f t="shared" si="169"/>
        <v>0</v>
      </c>
      <c r="AS62" s="48">
        <f t="shared" si="170"/>
        <v>0</v>
      </c>
      <c r="AT62" s="48">
        <f t="shared" si="171"/>
        <v>0</v>
      </c>
      <c r="AU62" s="48">
        <f t="shared" si="172"/>
        <v>0</v>
      </c>
      <c r="AV62" s="48">
        <f t="shared" si="173"/>
        <v>0</v>
      </c>
      <c r="AW62" s="48">
        <f t="shared" si="174"/>
        <v>0</v>
      </c>
      <c r="AX62" s="48">
        <f t="shared" si="175"/>
        <v>0</v>
      </c>
      <c r="AY62" s="48">
        <f t="shared" si="176"/>
        <v>0</v>
      </c>
      <c r="AZ62" s="48">
        <f t="shared" si="177"/>
        <v>0</v>
      </c>
      <c r="BA62" s="48">
        <f t="shared" si="178"/>
        <v>0</v>
      </c>
      <c r="BB62" s="48">
        <f t="shared" si="179"/>
        <v>0</v>
      </c>
      <c r="BC62" s="48">
        <f t="shared" si="180"/>
        <v>0</v>
      </c>
      <c r="BD62" s="48">
        <f t="shared" si="181"/>
        <v>0</v>
      </c>
      <c r="BE62" s="48">
        <f t="shared" si="182"/>
        <v>0</v>
      </c>
      <c r="BF62" s="48">
        <f t="shared" si="183"/>
        <v>0</v>
      </c>
      <c r="BG62" s="48">
        <f t="shared" si="184"/>
        <v>0</v>
      </c>
      <c r="BH62" s="48">
        <f t="shared" si="185"/>
        <v>0</v>
      </c>
      <c r="BI62" s="48">
        <f t="shared" si="186"/>
        <v>0</v>
      </c>
      <c r="BJ62" s="48">
        <f t="shared" si="187"/>
        <v>0</v>
      </c>
      <c r="BK62" s="48">
        <f t="shared" si="188"/>
        <v>0</v>
      </c>
      <c r="BL62" s="48">
        <f t="shared" si="189"/>
        <v>0</v>
      </c>
      <c r="BM62" s="48">
        <f t="shared" si="190"/>
        <v>0</v>
      </c>
      <c r="BN62" s="48">
        <f t="shared" si="191"/>
        <v>0</v>
      </c>
      <c r="BO62" s="48">
        <f t="shared" si="192"/>
        <v>0</v>
      </c>
      <c r="BP62" s="48">
        <f t="shared" si="193"/>
        <v>0</v>
      </c>
      <c r="BQ62" s="48">
        <f t="shared" si="194"/>
        <v>0</v>
      </c>
      <c r="BR62" s="48">
        <f t="shared" si="195"/>
        <v>0</v>
      </c>
      <c r="BS62" s="48">
        <f t="shared" si="196"/>
        <v>0</v>
      </c>
      <c r="BT62" s="48">
        <f t="shared" si="197"/>
        <v>0</v>
      </c>
      <c r="BU62" s="48">
        <f t="shared" si="198"/>
        <v>0</v>
      </c>
      <c r="BV62" s="48">
        <f t="shared" si="199"/>
        <v>0</v>
      </c>
      <c r="BW62" s="48">
        <f t="shared" si="200"/>
        <v>0</v>
      </c>
      <c r="BX62" s="48">
        <f t="shared" si="201"/>
        <v>0</v>
      </c>
      <c r="BY62" s="48">
        <f t="shared" si="202"/>
        <v>0</v>
      </c>
      <c r="BZ62" s="48">
        <f t="shared" si="203"/>
        <v>0</v>
      </c>
      <c r="CA62" s="48">
        <f t="shared" si="204"/>
        <v>0</v>
      </c>
      <c r="CB62" s="48">
        <f t="shared" si="205"/>
        <v>0</v>
      </c>
      <c r="CC62" s="48">
        <f t="shared" si="206"/>
        <v>0</v>
      </c>
      <c r="CD62" s="48">
        <f t="shared" si="207"/>
        <v>0</v>
      </c>
      <c r="CE62" s="48">
        <f t="shared" si="208"/>
        <v>0</v>
      </c>
      <c r="CF62" s="48">
        <f t="shared" si="209"/>
        <v>0</v>
      </c>
      <c r="CG62" s="48">
        <f t="shared" si="210"/>
        <v>0</v>
      </c>
      <c r="CH62" s="48">
        <f t="shared" si="211"/>
        <v>0</v>
      </c>
      <c r="CI62" s="48">
        <f t="shared" si="212"/>
        <v>0</v>
      </c>
      <c r="CJ62" s="48">
        <f t="shared" si="213"/>
        <v>0</v>
      </c>
      <c r="CK62" s="48">
        <f t="shared" si="214"/>
        <v>0</v>
      </c>
      <c r="CL62" s="48">
        <f t="shared" si="215"/>
        <v>0</v>
      </c>
      <c r="CM62" s="48">
        <f t="shared" si="216"/>
        <v>0</v>
      </c>
      <c r="CN62" s="48">
        <f t="shared" si="217"/>
        <v>0</v>
      </c>
      <c r="CO62" s="48">
        <f t="shared" si="218"/>
        <v>0</v>
      </c>
      <c r="CP62" s="48">
        <f t="shared" si="219"/>
        <v>0</v>
      </c>
      <c r="CQ62" s="48">
        <f t="shared" si="220"/>
        <v>0</v>
      </c>
      <c r="CR62" s="48">
        <f t="shared" si="221"/>
        <v>0</v>
      </c>
      <c r="CS62" s="48">
        <f t="shared" si="222"/>
        <v>0</v>
      </c>
      <c r="CT62" s="48">
        <f t="shared" si="223"/>
        <v>0</v>
      </c>
      <c r="CU62" s="48">
        <f t="shared" si="224"/>
        <v>0</v>
      </c>
      <c r="CV62" s="48">
        <f t="shared" si="225"/>
        <v>0</v>
      </c>
      <c r="CW62" s="48">
        <f t="shared" si="226"/>
        <v>0</v>
      </c>
      <c r="CX62" s="48">
        <f t="shared" si="227"/>
        <v>0</v>
      </c>
      <c r="CY62" s="48">
        <f t="shared" si="228"/>
        <v>0</v>
      </c>
      <c r="CZ62" s="48">
        <f t="shared" si="229"/>
        <v>0</v>
      </c>
      <c r="DA62" s="48">
        <f t="shared" si="230"/>
        <v>0</v>
      </c>
      <c r="DB62" s="48">
        <f t="shared" si="231"/>
        <v>0</v>
      </c>
      <c r="DC62" s="48">
        <f t="shared" si="232"/>
        <v>0</v>
      </c>
      <c r="DD62" s="48">
        <f t="shared" si="233"/>
        <v>0</v>
      </c>
      <c r="DE62" s="48">
        <f t="shared" si="234"/>
        <v>0</v>
      </c>
      <c r="DF62" s="48">
        <f t="shared" si="235"/>
        <v>0</v>
      </c>
      <c r="DG62" s="48">
        <f t="shared" si="236"/>
        <v>0</v>
      </c>
      <c r="DH62" s="48">
        <f t="shared" si="237"/>
        <v>0</v>
      </c>
      <c r="DI62" s="48">
        <f t="shared" si="238"/>
        <v>0</v>
      </c>
      <c r="DJ62" s="48">
        <f t="shared" si="239"/>
        <v>0</v>
      </c>
      <c r="DK62" s="48">
        <f t="shared" si="240"/>
        <v>0</v>
      </c>
      <c r="DL62" s="48">
        <f t="shared" si="241"/>
        <v>0</v>
      </c>
      <c r="DM62" s="48">
        <f t="shared" si="242"/>
        <v>0</v>
      </c>
      <c r="DN62" s="48">
        <f t="shared" si="243"/>
        <v>0</v>
      </c>
      <c r="DO62" s="48">
        <f t="shared" si="244"/>
        <v>0</v>
      </c>
      <c r="DP62" s="48">
        <f t="shared" si="245"/>
        <v>0</v>
      </c>
      <c r="DQ62" s="48">
        <f t="shared" si="246"/>
        <v>0</v>
      </c>
      <c r="DR62" s="48">
        <f t="shared" si="247"/>
        <v>0</v>
      </c>
      <c r="DS62" s="48">
        <f t="shared" si="248"/>
        <v>0</v>
      </c>
      <c r="DT62" s="48">
        <f t="shared" si="249"/>
        <v>0</v>
      </c>
      <c r="DU62" s="48">
        <f t="shared" si="250"/>
        <v>0</v>
      </c>
      <c r="DV62" s="48">
        <f t="shared" si="251"/>
        <v>0</v>
      </c>
      <c r="DW62" s="48">
        <f t="shared" si="252"/>
        <v>0</v>
      </c>
      <c r="DX62" s="48">
        <f t="shared" si="253"/>
        <v>0</v>
      </c>
      <c r="DY62" s="48">
        <f t="shared" si="254"/>
        <v>0</v>
      </c>
      <c r="DZ62" s="48">
        <f t="shared" si="255"/>
        <v>0</v>
      </c>
      <c r="EA62" s="48">
        <f t="shared" si="256"/>
        <v>0</v>
      </c>
      <c r="EB62" s="48">
        <f t="shared" si="257"/>
        <v>0</v>
      </c>
      <c r="EC62" s="48">
        <f t="shared" si="258"/>
        <v>0</v>
      </c>
      <c r="ED62" s="48">
        <f t="shared" si="259"/>
        <v>0</v>
      </c>
      <c r="EE62" s="48">
        <f t="shared" si="260"/>
        <v>0</v>
      </c>
      <c r="EF62" s="48">
        <f t="shared" si="261"/>
        <v>0</v>
      </c>
      <c r="EG62" s="48">
        <f t="shared" si="262"/>
        <v>0</v>
      </c>
      <c r="EH62" s="48">
        <f t="shared" si="263"/>
        <v>0</v>
      </c>
      <c r="EI62" s="48">
        <f t="shared" si="264"/>
        <v>0</v>
      </c>
      <c r="EJ62" s="48">
        <f t="shared" si="265"/>
        <v>0</v>
      </c>
      <c r="EK62" s="48">
        <f t="shared" si="266"/>
        <v>0</v>
      </c>
      <c r="EL62" s="48">
        <f t="shared" si="267"/>
        <v>0</v>
      </c>
      <c r="EM62" s="48">
        <f t="shared" si="268"/>
        <v>0</v>
      </c>
      <c r="EN62" s="48">
        <f t="shared" si="269"/>
        <v>0</v>
      </c>
      <c r="EO62" s="48">
        <f t="shared" si="270"/>
        <v>0</v>
      </c>
      <c r="EP62" s="48">
        <f t="shared" si="271"/>
        <v>0</v>
      </c>
      <c r="EQ62" s="48">
        <f t="shared" si="272"/>
        <v>0</v>
      </c>
      <c r="ER62" s="48">
        <f t="shared" si="273"/>
        <v>0</v>
      </c>
      <c r="ES62" s="48">
        <f t="shared" si="274"/>
        <v>0</v>
      </c>
      <c r="ET62" s="48">
        <f t="shared" si="275"/>
        <v>0</v>
      </c>
      <c r="EU62" s="48">
        <f t="shared" si="276"/>
        <v>0</v>
      </c>
      <c r="EV62" s="48">
        <f t="shared" si="277"/>
        <v>0</v>
      </c>
      <c r="EW62" s="48">
        <f t="shared" si="278"/>
        <v>0</v>
      </c>
      <c r="EX62" s="48">
        <f t="shared" si="279"/>
        <v>0</v>
      </c>
      <c r="EY62" s="48">
        <f t="shared" si="280"/>
        <v>0</v>
      </c>
      <c r="EZ62" s="48">
        <f t="shared" si="281"/>
        <v>0</v>
      </c>
      <c r="FA62" s="48">
        <f t="shared" si="282"/>
        <v>0</v>
      </c>
      <c r="FB62" s="48">
        <f t="shared" si="283"/>
        <v>0</v>
      </c>
      <c r="FC62" s="48">
        <f t="shared" si="284"/>
        <v>0</v>
      </c>
      <c r="FD62" s="48">
        <f t="shared" si="285"/>
        <v>0</v>
      </c>
      <c r="FE62" s="48">
        <f t="shared" si="286"/>
        <v>0</v>
      </c>
      <c r="FF62" s="48">
        <f t="shared" si="287"/>
        <v>0</v>
      </c>
      <c r="FG62" s="48">
        <f t="shared" si="288"/>
        <v>0</v>
      </c>
      <c r="FH62" s="48">
        <f t="shared" si="289"/>
        <v>0</v>
      </c>
      <c r="FI62" s="48">
        <f t="shared" si="290"/>
        <v>0</v>
      </c>
      <c r="FJ62" s="48">
        <f t="shared" si="291"/>
        <v>0</v>
      </c>
      <c r="FK62" s="48">
        <f t="shared" si="292"/>
        <v>0</v>
      </c>
      <c r="FL62" s="48">
        <f t="shared" si="293"/>
        <v>0</v>
      </c>
      <c r="FM62" s="48">
        <f t="shared" si="294"/>
        <v>0</v>
      </c>
      <c r="FN62" s="48">
        <f t="shared" si="295"/>
        <v>0</v>
      </c>
      <c r="FO62" s="48">
        <f t="shared" si="296"/>
        <v>0</v>
      </c>
      <c r="FP62" s="48">
        <f t="shared" si="297"/>
        <v>0</v>
      </c>
      <c r="FQ62" s="48">
        <f t="shared" si="298"/>
        <v>0</v>
      </c>
      <c r="FR62" s="48">
        <f t="shared" si="299"/>
        <v>0</v>
      </c>
      <c r="FS62" s="48">
        <f t="shared" si="300"/>
        <v>0</v>
      </c>
      <c r="FT62" s="48">
        <f t="shared" si="301"/>
        <v>0</v>
      </c>
      <c r="FU62" s="48">
        <f t="shared" si="302"/>
        <v>0</v>
      </c>
      <c r="FV62" s="48">
        <f t="shared" si="303"/>
        <v>0</v>
      </c>
      <c r="FW62" s="48">
        <f t="shared" si="304"/>
        <v>0</v>
      </c>
      <c r="FX62" s="48">
        <f t="shared" si="305"/>
        <v>0</v>
      </c>
      <c r="FY62" s="48">
        <f t="shared" si="306"/>
        <v>0</v>
      </c>
      <c r="FZ62" s="48">
        <f t="shared" si="307"/>
        <v>0</v>
      </c>
      <c r="GA62" s="48">
        <f t="shared" si="308"/>
        <v>0</v>
      </c>
      <c r="GB62" s="48">
        <f t="shared" si="309"/>
        <v>0</v>
      </c>
      <c r="GC62" s="48">
        <f t="shared" si="310"/>
        <v>0</v>
      </c>
      <c r="GG62">
        <f t="shared" si="311"/>
        <v>0</v>
      </c>
    </row>
    <row r="63" spans="1:189" x14ac:dyDescent="0.25">
      <c r="A63" s="690"/>
      <c r="B63" s="690"/>
      <c r="C63" s="690"/>
      <c r="D63" s="690"/>
      <c r="E63" s="690"/>
      <c r="F63" s="690"/>
      <c r="G63" s="889"/>
      <c r="H63" s="690"/>
      <c r="I63" s="690"/>
      <c r="J63" s="690"/>
      <c r="K63" s="690"/>
      <c r="L63" s="690"/>
      <c r="M63" s="690"/>
      <c r="N63" s="507" t="str">
        <f t="shared" si="159"/>
        <v/>
      </c>
      <c r="O63" s="690"/>
      <c r="P63" s="507" t="str">
        <f t="shared" si="158"/>
        <v/>
      </c>
      <c r="Q63" s="690"/>
      <c r="R63" s="690"/>
      <c r="S63" s="690"/>
      <c r="T63" s="690"/>
      <c r="U63">
        <f t="shared" si="312"/>
        <v>0</v>
      </c>
      <c r="V63">
        <f t="shared" si="313"/>
        <v>0</v>
      </c>
      <c r="X63">
        <f t="shared" si="314"/>
        <v>0</v>
      </c>
      <c r="Y63">
        <f t="shared" si="315"/>
        <v>0</v>
      </c>
      <c r="Z63">
        <f t="shared" si="316"/>
        <v>0</v>
      </c>
      <c r="AA63">
        <f t="shared" si="317"/>
        <v>0</v>
      </c>
      <c r="AB63" s="25"/>
      <c r="AC63" s="25"/>
      <c r="AD63" s="25"/>
      <c r="AF63" s="48" t="s">
        <v>718</v>
      </c>
      <c r="AG63" s="689"/>
      <c r="AH63" s="689"/>
      <c r="AI63" s="48">
        <f t="shared" si="160"/>
        <v>0</v>
      </c>
      <c r="AJ63" s="48">
        <f t="shared" si="161"/>
        <v>0</v>
      </c>
      <c r="AK63" s="48">
        <f t="shared" si="162"/>
        <v>0</v>
      </c>
      <c r="AL63" s="48">
        <f t="shared" si="163"/>
        <v>0</v>
      </c>
      <c r="AM63" s="48">
        <f t="shared" si="164"/>
        <v>0</v>
      </c>
      <c r="AN63" s="48">
        <f t="shared" si="165"/>
        <v>0</v>
      </c>
      <c r="AO63" s="48">
        <f t="shared" si="166"/>
        <v>0</v>
      </c>
      <c r="AP63" s="48">
        <f t="shared" si="167"/>
        <v>0</v>
      </c>
      <c r="AQ63" s="48">
        <f t="shared" si="168"/>
        <v>0</v>
      </c>
      <c r="AR63" s="48">
        <f t="shared" si="169"/>
        <v>0</v>
      </c>
      <c r="AS63" s="48">
        <f t="shared" si="170"/>
        <v>0</v>
      </c>
      <c r="AT63" s="48">
        <f t="shared" si="171"/>
        <v>0</v>
      </c>
      <c r="AU63" s="48">
        <f t="shared" si="172"/>
        <v>0</v>
      </c>
      <c r="AV63" s="48">
        <f t="shared" si="173"/>
        <v>0</v>
      </c>
      <c r="AW63" s="48">
        <f t="shared" si="174"/>
        <v>0</v>
      </c>
      <c r="AX63" s="48">
        <f t="shared" si="175"/>
        <v>0</v>
      </c>
      <c r="AY63" s="48">
        <f t="shared" si="176"/>
        <v>0</v>
      </c>
      <c r="AZ63" s="48">
        <f t="shared" si="177"/>
        <v>0</v>
      </c>
      <c r="BA63" s="48">
        <f t="shared" si="178"/>
        <v>0</v>
      </c>
      <c r="BB63" s="48">
        <f t="shared" si="179"/>
        <v>0</v>
      </c>
      <c r="BC63" s="48">
        <f t="shared" si="180"/>
        <v>0</v>
      </c>
      <c r="BD63" s="48">
        <f t="shared" si="181"/>
        <v>0</v>
      </c>
      <c r="BE63" s="48">
        <f t="shared" si="182"/>
        <v>0</v>
      </c>
      <c r="BF63" s="48">
        <f t="shared" si="183"/>
        <v>0</v>
      </c>
      <c r="BG63" s="48">
        <f t="shared" si="184"/>
        <v>0</v>
      </c>
      <c r="BH63" s="48">
        <f t="shared" si="185"/>
        <v>0</v>
      </c>
      <c r="BI63" s="48">
        <f t="shared" si="186"/>
        <v>0</v>
      </c>
      <c r="BJ63" s="48">
        <f t="shared" si="187"/>
        <v>0</v>
      </c>
      <c r="BK63" s="48">
        <f t="shared" si="188"/>
        <v>0</v>
      </c>
      <c r="BL63" s="48">
        <f t="shared" si="189"/>
        <v>0</v>
      </c>
      <c r="BM63" s="48">
        <f t="shared" si="190"/>
        <v>0</v>
      </c>
      <c r="BN63" s="48">
        <f t="shared" si="191"/>
        <v>0</v>
      </c>
      <c r="BO63" s="48">
        <f t="shared" si="192"/>
        <v>0</v>
      </c>
      <c r="BP63" s="48">
        <f t="shared" si="193"/>
        <v>0</v>
      </c>
      <c r="BQ63" s="48">
        <f t="shared" si="194"/>
        <v>0</v>
      </c>
      <c r="BR63" s="48">
        <f t="shared" si="195"/>
        <v>0</v>
      </c>
      <c r="BS63" s="48">
        <f t="shared" si="196"/>
        <v>0</v>
      </c>
      <c r="BT63" s="48">
        <f t="shared" si="197"/>
        <v>0</v>
      </c>
      <c r="BU63" s="48">
        <f t="shared" si="198"/>
        <v>0</v>
      </c>
      <c r="BV63" s="48">
        <f t="shared" si="199"/>
        <v>0</v>
      </c>
      <c r="BW63" s="48">
        <f t="shared" si="200"/>
        <v>0</v>
      </c>
      <c r="BX63" s="48">
        <f t="shared" si="201"/>
        <v>0</v>
      </c>
      <c r="BY63" s="48">
        <f t="shared" si="202"/>
        <v>0</v>
      </c>
      <c r="BZ63" s="48">
        <f t="shared" si="203"/>
        <v>0</v>
      </c>
      <c r="CA63" s="48">
        <f t="shared" si="204"/>
        <v>0</v>
      </c>
      <c r="CB63" s="48">
        <f t="shared" si="205"/>
        <v>0</v>
      </c>
      <c r="CC63" s="48">
        <f t="shared" si="206"/>
        <v>0</v>
      </c>
      <c r="CD63" s="48">
        <f t="shared" si="207"/>
        <v>0</v>
      </c>
      <c r="CE63" s="48">
        <f t="shared" si="208"/>
        <v>0</v>
      </c>
      <c r="CF63" s="48">
        <f t="shared" si="209"/>
        <v>0</v>
      </c>
      <c r="CG63" s="48">
        <f t="shared" si="210"/>
        <v>0</v>
      </c>
      <c r="CH63" s="48">
        <f t="shared" si="211"/>
        <v>0</v>
      </c>
      <c r="CI63" s="48">
        <f t="shared" si="212"/>
        <v>0</v>
      </c>
      <c r="CJ63" s="48">
        <f t="shared" si="213"/>
        <v>0</v>
      </c>
      <c r="CK63" s="48">
        <f t="shared" si="214"/>
        <v>0</v>
      </c>
      <c r="CL63" s="48">
        <f t="shared" si="215"/>
        <v>0</v>
      </c>
      <c r="CM63" s="48">
        <f t="shared" si="216"/>
        <v>0</v>
      </c>
      <c r="CN63" s="48">
        <f t="shared" si="217"/>
        <v>0</v>
      </c>
      <c r="CO63" s="48">
        <f t="shared" si="218"/>
        <v>0</v>
      </c>
      <c r="CP63" s="48">
        <f t="shared" si="219"/>
        <v>0</v>
      </c>
      <c r="CQ63" s="48">
        <f t="shared" si="220"/>
        <v>0</v>
      </c>
      <c r="CR63" s="48">
        <f t="shared" si="221"/>
        <v>0</v>
      </c>
      <c r="CS63" s="48">
        <f t="shared" si="222"/>
        <v>0</v>
      </c>
      <c r="CT63" s="48">
        <f t="shared" si="223"/>
        <v>0</v>
      </c>
      <c r="CU63" s="48">
        <f t="shared" si="224"/>
        <v>0</v>
      </c>
      <c r="CV63" s="48">
        <f t="shared" si="225"/>
        <v>0</v>
      </c>
      <c r="CW63" s="48">
        <f t="shared" si="226"/>
        <v>0</v>
      </c>
      <c r="CX63" s="48">
        <f t="shared" si="227"/>
        <v>0</v>
      </c>
      <c r="CY63" s="48">
        <f t="shared" si="228"/>
        <v>0</v>
      </c>
      <c r="CZ63" s="48">
        <f t="shared" si="229"/>
        <v>0</v>
      </c>
      <c r="DA63" s="48">
        <f t="shared" si="230"/>
        <v>0</v>
      </c>
      <c r="DB63" s="48">
        <f t="shared" si="231"/>
        <v>0</v>
      </c>
      <c r="DC63" s="48">
        <f t="shared" si="232"/>
        <v>0</v>
      </c>
      <c r="DD63" s="48">
        <f t="shared" si="233"/>
        <v>0</v>
      </c>
      <c r="DE63" s="48">
        <f t="shared" si="234"/>
        <v>0</v>
      </c>
      <c r="DF63" s="48">
        <f t="shared" si="235"/>
        <v>0</v>
      </c>
      <c r="DG63" s="48">
        <f t="shared" si="236"/>
        <v>0</v>
      </c>
      <c r="DH63" s="48">
        <f t="shared" si="237"/>
        <v>0</v>
      </c>
      <c r="DI63" s="48">
        <f t="shared" si="238"/>
        <v>0</v>
      </c>
      <c r="DJ63" s="48">
        <f t="shared" si="239"/>
        <v>0</v>
      </c>
      <c r="DK63" s="48">
        <f t="shared" si="240"/>
        <v>0</v>
      </c>
      <c r="DL63" s="48">
        <f t="shared" si="241"/>
        <v>0</v>
      </c>
      <c r="DM63" s="48">
        <f t="shared" si="242"/>
        <v>0</v>
      </c>
      <c r="DN63" s="48">
        <f t="shared" si="243"/>
        <v>0</v>
      </c>
      <c r="DO63" s="48">
        <f t="shared" si="244"/>
        <v>0</v>
      </c>
      <c r="DP63" s="48">
        <f t="shared" si="245"/>
        <v>0</v>
      </c>
      <c r="DQ63" s="48">
        <f t="shared" si="246"/>
        <v>0</v>
      </c>
      <c r="DR63" s="48">
        <f t="shared" si="247"/>
        <v>0</v>
      </c>
      <c r="DS63" s="48">
        <f t="shared" si="248"/>
        <v>0</v>
      </c>
      <c r="DT63" s="48">
        <f t="shared" si="249"/>
        <v>0</v>
      </c>
      <c r="DU63" s="48">
        <f t="shared" si="250"/>
        <v>0</v>
      </c>
      <c r="DV63" s="48">
        <f t="shared" si="251"/>
        <v>0</v>
      </c>
      <c r="DW63" s="48">
        <f t="shared" si="252"/>
        <v>0</v>
      </c>
      <c r="DX63" s="48">
        <f t="shared" si="253"/>
        <v>0</v>
      </c>
      <c r="DY63" s="48">
        <f t="shared" si="254"/>
        <v>0</v>
      </c>
      <c r="DZ63" s="48">
        <f t="shared" si="255"/>
        <v>0</v>
      </c>
      <c r="EA63" s="48">
        <f t="shared" si="256"/>
        <v>0</v>
      </c>
      <c r="EB63" s="48">
        <f t="shared" si="257"/>
        <v>0</v>
      </c>
      <c r="EC63" s="48">
        <f t="shared" si="258"/>
        <v>0</v>
      </c>
      <c r="ED63" s="48">
        <f t="shared" si="259"/>
        <v>0</v>
      </c>
      <c r="EE63" s="48">
        <f t="shared" si="260"/>
        <v>0</v>
      </c>
      <c r="EF63" s="48">
        <f t="shared" si="261"/>
        <v>0</v>
      </c>
      <c r="EG63" s="48">
        <f t="shared" si="262"/>
        <v>0</v>
      </c>
      <c r="EH63" s="48">
        <f t="shared" si="263"/>
        <v>0</v>
      </c>
      <c r="EI63" s="48">
        <f t="shared" si="264"/>
        <v>0</v>
      </c>
      <c r="EJ63" s="48">
        <f t="shared" si="265"/>
        <v>0</v>
      </c>
      <c r="EK63" s="48">
        <f t="shared" si="266"/>
        <v>0</v>
      </c>
      <c r="EL63" s="48">
        <f t="shared" si="267"/>
        <v>0</v>
      </c>
      <c r="EM63" s="48">
        <f t="shared" si="268"/>
        <v>0</v>
      </c>
      <c r="EN63" s="48">
        <f t="shared" si="269"/>
        <v>0</v>
      </c>
      <c r="EO63" s="48">
        <f t="shared" si="270"/>
        <v>0</v>
      </c>
      <c r="EP63" s="48">
        <f t="shared" si="271"/>
        <v>0</v>
      </c>
      <c r="EQ63" s="48">
        <f t="shared" si="272"/>
        <v>0</v>
      </c>
      <c r="ER63" s="48">
        <f t="shared" si="273"/>
        <v>0</v>
      </c>
      <c r="ES63" s="48">
        <f t="shared" si="274"/>
        <v>0</v>
      </c>
      <c r="ET63" s="48">
        <f t="shared" si="275"/>
        <v>0</v>
      </c>
      <c r="EU63" s="48">
        <f t="shared" si="276"/>
        <v>0</v>
      </c>
      <c r="EV63" s="48">
        <f t="shared" si="277"/>
        <v>0</v>
      </c>
      <c r="EW63" s="48">
        <f t="shared" si="278"/>
        <v>0</v>
      </c>
      <c r="EX63" s="48">
        <f t="shared" si="279"/>
        <v>0</v>
      </c>
      <c r="EY63" s="48">
        <f t="shared" si="280"/>
        <v>0</v>
      </c>
      <c r="EZ63" s="48">
        <f t="shared" si="281"/>
        <v>0</v>
      </c>
      <c r="FA63" s="48">
        <f t="shared" si="282"/>
        <v>0</v>
      </c>
      <c r="FB63" s="48">
        <f t="shared" si="283"/>
        <v>0</v>
      </c>
      <c r="FC63" s="48">
        <f t="shared" si="284"/>
        <v>0</v>
      </c>
      <c r="FD63" s="48">
        <f t="shared" si="285"/>
        <v>0</v>
      </c>
      <c r="FE63" s="48">
        <f t="shared" si="286"/>
        <v>0</v>
      </c>
      <c r="FF63" s="48">
        <f t="shared" si="287"/>
        <v>0</v>
      </c>
      <c r="FG63" s="48">
        <f t="shared" si="288"/>
        <v>0</v>
      </c>
      <c r="FH63" s="48">
        <f t="shared" si="289"/>
        <v>0</v>
      </c>
      <c r="FI63" s="48">
        <f t="shared" si="290"/>
        <v>0</v>
      </c>
      <c r="FJ63" s="48">
        <f t="shared" si="291"/>
        <v>0</v>
      </c>
      <c r="FK63" s="48">
        <f t="shared" si="292"/>
        <v>0</v>
      </c>
      <c r="FL63" s="48">
        <f t="shared" si="293"/>
        <v>0</v>
      </c>
      <c r="FM63" s="48">
        <f t="shared" si="294"/>
        <v>0</v>
      </c>
      <c r="FN63" s="48">
        <f t="shared" si="295"/>
        <v>0</v>
      </c>
      <c r="FO63" s="48">
        <f t="shared" si="296"/>
        <v>0</v>
      </c>
      <c r="FP63" s="48">
        <f t="shared" si="297"/>
        <v>0</v>
      </c>
      <c r="FQ63" s="48">
        <f t="shared" si="298"/>
        <v>0</v>
      </c>
      <c r="FR63" s="48">
        <f t="shared" si="299"/>
        <v>0</v>
      </c>
      <c r="FS63" s="48">
        <f t="shared" si="300"/>
        <v>0</v>
      </c>
      <c r="FT63" s="48">
        <f t="shared" si="301"/>
        <v>0</v>
      </c>
      <c r="FU63" s="48">
        <f t="shared" si="302"/>
        <v>0</v>
      </c>
      <c r="FV63" s="48">
        <f t="shared" si="303"/>
        <v>0</v>
      </c>
      <c r="FW63" s="48">
        <f t="shared" si="304"/>
        <v>0</v>
      </c>
      <c r="FX63" s="48">
        <f t="shared" si="305"/>
        <v>0</v>
      </c>
      <c r="FY63" s="48">
        <f t="shared" si="306"/>
        <v>0</v>
      </c>
      <c r="FZ63" s="48">
        <f t="shared" si="307"/>
        <v>0</v>
      </c>
      <c r="GA63" s="48">
        <f t="shared" si="308"/>
        <v>0</v>
      </c>
      <c r="GB63" s="48">
        <f t="shared" si="309"/>
        <v>0</v>
      </c>
      <c r="GC63" s="48">
        <f t="shared" si="310"/>
        <v>0</v>
      </c>
      <c r="GG63">
        <f t="shared" si="311"/>
        <v>0</v>
      </c>
    </row>
    <row r="64" spans="1:189" x14ac:dyDescent="0.25">
      <c r="A64" s="690"/>
      <c r="B64" s="690"/>
      <c r="C64" s="690"/>
      <c r="D64" s="690"/>
      <c r="E64" s="690"/>
      <c r="F64" s="690"/>
      <c r="G64" s="889"/>
      <c r="H64" s="690"/>
      <c r="I64" s="690"/>
      <c r="J64" s="690"/>
      <c r="K64" s="690"/>
      <c r="L64" s="690"/>
      <c r="M64" s="690"/>
      <c r="N64" s="507" t="str">
        <f t="shared" si="159"/>
        <v/>
      </c>
      <c r="O64" s="690"/>
      <c r="P64" s="507" t="str">
        <f t="shared" si="158"/>
        <v/>
      </c>
      <c r="Q64" s="690"/>
      <c r="R64" s="690"/>
      <c r="S64" s="690"/>
      <c r="T64" s="690"/>
      <c r="U64">
        <f t="shared" si="312"/>
        <v>0</v>
      </c>
      <c r="V64">
        <f t="shared" si="313"/>
        <v>0</v>
      </c>
      <c r="X64">
        <f t="shared" si="314"/>
        <v>0</v>
      </c>
      <c r="Y64">
        <f t="shared" si="315"/>
        <v>0</v>
      </c>
      <c r="Z64">
        <f t="shared" si="316"/>
        <v>0</v>
      </c>
      <c r="AA64">
        <f t="shared" si="317"/>
        <v>0</v>
      </c>
      <c r="AB64" s="25"/>
      <c r="AC64" s="25"/>
      <c r="AD64" s="25"/>
      <c r="AF64" s="48" t="s">
        <v>719</v>
      </c>
      <c r="AG64" s="689"/>
      <c r="AH64" s="689"/>
      <c r="AI64" s="48">
        <f t="shared" si="160"/>
        <v>0</v>
      </c>
      <c r="AJ64" s="48">
        <f t="shared" si="161"/>
        <v>0</v>
      </c>
      <c r="AK64" s="48">
        <f t="shared" si="162"/>
        <v>0</v>
      </c>
      <c r="AL64" s="48">
        <f t="shared" si="163"/>
        <v>0</v>
      </c>
      <c r="AM64" s="48">
        <f t="shared" si="164"/>
        <v>0</v>
      </c>
      <c r="AN64" s="48">
        <f t="shared" si="165"/>
        <v>0</v>
      </c>
      <c r="AO64" s="48">
        <f t="shared" si="166"/>
        <v>0</v>
      </c>
      <c r="AP64" s="48">
        <f t="shared" si="167"/>
        <v>0</v>
      </c>
      <c r="AQ64" s="48">
        <f t="shared" si="168"/>
        <v>0</v>
      </c>
      <c r="AR64" s="48">
        <f t="shared" si="169"/>
        <v>0</v>
      </c>
      <c r="AS64" s="48">
        <f t="shared" si="170"/>
        <v>0</v>
      </c>
      <c r="AT64" s="48">
        <f t="shared" si="171"/>
        <v>0</v>
      </c>
      <c r="AU64" s="48">
        <f t="shared" si="172"/>
        <v>0</v>
      </c>
      <c r="AV64" s="48">
        <f t="shared" si="173"/>
        <v>0</v>
      </c>
      <c r="AW64" s="48">
        <f t="shared" si="174"/>
        <v>0</v>
      </c>
      <c r="AX64" s="48">
        <f t="shared" si="175"/>
        <v>0</v>
      </c>
      <c r="AY64" s="48">
        <f t="shared" si="176"/>
        <v>0</v>
      </c>
      <c r="AZ64" s="48">
        <f t="shared" si="177"/>
        <v>0</v>
      </c>
      <c r="BA64" s="48">
        <f t="shared" si="178"/>
        <v>0</v>
      </c>
      <c r="BB64" s="48">
        <f t="shared" si="179"/>
        <v>0</v>
      </c>
      <c r="BC64" s="48">
        <f t="shared" si="180"/>
        <v>0</v>
      </c>
      <c r="BD64" s="48">
        <f t="shared" si="181"/>
        <v>0</v>
      </c>
      <c r="BE64" s="48">
        <f t="shared" si="182"/>
        <v>0</v>
      </c>
      <c r="BF64" s="48">
        <f t="shared" si="183"/>
        <v>0</v>
      </c>
      <c r="BG64" s="48">
        <f t="shared" si="184"/>
        <v>0</v>
      </c>
      <c r="BH64" s="48">
        <f t="shared" si="185"/>
        <v>0</v>
      </c>
      <c r="BI64" s="48">
        <f t="shared" si="186"/>
        <v>0</v>
      </c>
      <c r="BJ64" s="48">
        <f t="shared" si="187"/>
        <v>0</v>
      </c>
      <c r="BK64" s="48">
        <f t="shared" si="188"/>
        <v>0</v>
      </c>
      <c r="BL64" s="48">
        <f t="shared" si="189"/>
        <v>0</v>
      </c>
      <c r="BM64" s="48">
        <f t="shared" si="190"/>
        <v>0</v>
      </c>
      <c r="BN64" s="48">
        <f t="shared" si="191"/>
        <v>0</v>
      </c>
      <c r="BO64" s="48">
        <f t="shared" si="192"/>
        <v>0</v>
      </c>
      <c r="BP64" s="48">
        <f t="shared" si="193"/>
        <v>0</v>
      </c>
      <c r="BQ64" s="48">
        <f t="shared" si="194"/>
        <v>0</v>
      </c>
      <c r="BR64" s="48">
        <f t="shared" si="195"/>
        <v>0</v>
      </c>
      <c r="BS64" s="48">
        <f t="shared" si="196"/>
        <v>0</v>
      </c>
      <c r="BT64" s="48">
        <f t="shared" si="197"/>
        <v>0</v>
      </c>
      <c r="BU64" s="48">
        <f t="shared" si="198"/>
        <v>0</v>
      </c>
      <c r="BV64" s="48">
        <f t="shared" si="199"/>
        <v>0</v>
      </c>
      <c r="BW64" s="48">
        <f t="shared" si="200"/>
        <v>0</v>
      </c>
      <c r="BX64" s="48">
        <f t="shared" si="201"/>
        <v>0</v>
      </c>
      <c r="BY64" s="48">
        <f t="shared" si="202"/>
        <v>0</v>
      </c>
      <c r="BZ64" s="48">
        <f t="shared" si="203"/>
        <v>0</v>
      </c>
      <c r="CA64" s="48">
        <f t="shared" si="204"/>
        <v>0</v>
      </c>
      <c r="CB64" s="48">
        <f t="shared" si="205"/>
        <v>0</v>
      </c>
      <c r="CC64" s="48">
        <f t="shared" si="206"/>
        <v>0</v>
      </c>
      <c r="CD64" s="48">
        <f t="shared" si="207"/>
        <v>0</v>
      </c>
      <c r="CE64" s="48">
        <f t="shared" si="208"/>
        <v>0</v>
      </c>
      <c r="CF64" s="48">
        <f t="shared" si="209"/>
        <v>0</v>
      </c>
      <c r="CG64" s="48">
        <f t="shared" si="210"/>
        <v>0</v>
      </c>
      <c r="CH64" s="48">
        <f t="shared" si="211"/>
        <v>0</v>
      </c>
      <c r="CI64" s="48">
        <f t="shared" si="212"/>
        <v>0</v>
      </c>
      <c r="CJ64" s="48">
        <f t="shared" si="213"/>
        <v>0</v>
      </c>
      <c r="CK64" s="48">
        <f t="shared" si="214"/>
        <v>0</v>
      </c>
      <c r="CL64" s="48">
        <f t="shared" si="215"/>
        <v>0</v>
      </c>
      <c r="CM64" s="48">
        <f t="shared" si="216"/>
        <v>0</v>
      </c>
      <c r="CN64" s="48">
        <f t="shared" si="217"/>
        <v>0</v>
      </c>
      <c r="CO64" s="48">
        <f t="shared" si="218"/>
        <v>0</v>
      </c>
      <c r="CP64" s="48">
        <f t="shared" si="219"/>
        <v>0</v>
      </c>
      <c r="CQ64" s="48">
        <f t="shared" si="220"/>
        <v>0</v>
      </c>
      <c r="CR64" s="48">
        <f t="shared" si="221"/>
        <v>0</v>
      </c>
      <c r="CS64" s="48">
        <f t="shared" si="222"/>
        <v>0</v>
      </c>
      <c r="CT64" s="48">
        <f t="shared" si="223"/>
        <v>0</v>
      </c>
      <c r="CU64" s="48">
        <f t="shared" si="224"/>
        <v>0</v>
      </c>
      <c r="CV64" s="48">
        <f t="shared" si="225"/>
        <v>0</v>
      </c>
      <c r="CW64" s="48">
        <f t="shared" si="226"/>
        <v>0</v>
      </c>
      <c r="CX64" s="48">
        <f t="shared" si="227"/>
        <v>0</v>
      </c>
      <c r="CY64" s="48">
        <f t="shared" si="228"/>
        <v>0</v>
      </c>
      <c r="CZ64" s="48">
        <f t="shared" si="229"/>
        <v>0</v>
      </c>
      <c r="DA64" s="48">
        <f t="shared" si="230"/>
        <v>0</v>
      </c>
      <c r="DB64" s="48">
        <f t="shared" si="231"/>
        <v>0</v>
      </c>
      <c r="DC64" s="48">
        <f t="shared" si="232"/>
        <v>0</v>
      </c>
      <c r="DD64" s="48">
        <f t="shared" si="233"/>
        <v>0</v>
      </c>
      <c r="DE64" s="48">
        <f t="shared" si="234"/>
        <v>0</v>
      </c>
      <c r="DF64" s="48">
        <f t="shared" si="235"/>
        <v>0</v>
      </c>
      <c r="DG64" s="48">
        <f t="shared" si="236"/>
        <v>0</v>
      </c>
      <c r="DH64" s="48">
        <f t="shared" si="237"/>
        <v>0</v>
      </c>
      <c r="DI64" s="48">
        <f t="shared" si="238"/>
        <v>0</v>
      </c>
      <c r="DJ64" s="48">
        <f t="shared" si="239"/>
        <v>0</v>
      </c>
      <c r="DK64" s="48">
        <f t="shared" si="240"/>
        <v>0</v>
      </c>
      <c r="DL64" s="48">
        <f t="shared" si="241"/>
        <v>0</v>
      </c>
      <c r="DM64" s="48">
        <f t="shared" si="242"/>
        <v>0</v>
      </c>
      <c r="DN64" s="48">
        <f t="shared" si="243"/>
        <v>0</v>
      </c>
      <c r="DO64" s="48">
        <f t="shared" si="244"/>
        <v>0</v>
      </c>
      <c r="DP64" s="48">
        <f t="shared" si="245"/>
        <v>0</v>
      </c>
      <c r="DQ64" s="48">
        <f t="shared" si="246"/>
        <v>0</v>
      </c>
      <c r="DR64" s="48">
        <f t="shared" si="247"/>
        <v>0</v>
      </c>
      <c r="DS64" s="48">
        <f t="shared" si="248"/>
        <v>0</v>
      </c>
      <c r="DT64" s="48">
        <f t="shared" si="249"/>
        <v>0</v>
      </c>
      <c r="DU64" s="48">
        <f t="shared" si="250"/>
        <v>0</v>
      </c>
      <c r="DV64" s="48">
        <f t="shared" si="251"/>
        <v>0</v>
      </c>
      <c r="DW64" s="48">
        <f t="shared" si="252"/>
        <v>0</v>
      </c>
      <c r="DX64" s="48">
        <f t="shared" si="253"/>
        <v>0</v>
      </c>
      <c r="DY64" s="48">
        <f t="shared" si="254"/>
        <v>0</v>
      </c>
      <c r="DZ64" s="48">
        <f t="shared" si="255"/>
        <v>0</v>
      </c>
      <c r="EA64" s="48">
        <f t="shared" si="256"/>
        <v>0</v>
      </c>
      <c r="EB64" s="48">
        <f t="shared" si="257"/>
        <v>0</v>
      </c>
      <c r="EC64" s="48">
        <f t="shared" si="258"/>
        <v>0</v>
      </c>
      <c r="ED64" s="48">
        <f t="shared" si="259"/>
        <v>0</v>
      </c>
      <c r="EE64" s="48">
        <f t="shared" si="260"/>
        <v>0</v>
      </c>
      <c r="EF64" s="48">
        <f t="shared" si="261"/>
        <v>0</v>
      </c>
      <c r="EG64" s="48">
        <f t="shared" si="262"/>
        <v>0</v>
      </c>
      <c r="EH64" s="48">
        <f t="shared" si="263"/>
        <v>0</v>
      </c>
      <c r="EI64" s="48">
        <f t="shared" si="264"/>
        <v>0</v>
      </c>
      <c r="EJ64" s="48">
        <f t="shared" si="265"/>
        <v>0</v>
      </c>
      <c r="EK64" s="48">
        <f t="shared" si="266"/>
        <v>0</v>
      </c>
      <c r="EL64" s="48">
        <f t="shared" si="267"/>
        <v>0</v>
      </c>
      <c r="EM64" s="48">
        <f t="shared" si="268"/>
        <v>0</v>
      </c>
      <c r="EN64" s="48">
        <f t="shared" si="269"/>
        <v>0</v>
      </c>
      <c r="EO64" s="48">
        <f t="shared" si="270"/>
        <v>0</v>
      </c>
      <c r="EP64" s="48">
        <f t="shared" si="271"/>
        <v>0</v>
      </c>
      <c r="EQ64" s="48">
        <f t="shared" si="272"/>
        <v>0</v>
      </c>
      <c r="ER64" s="48">
        <f t="shared" si="273"/>
        <v>0</v>
      </c>
      <c r="ES64" s="48">
        <f t="shared" si="274"/>
        <v>0</v>
      </c>
      <c r="ET64" s="48">
        <f t="shared" si="275"/>
        <v>0</v>
      </c>
      <c r="EU64" s="48">
        <f t="shared" si="276"/>
        <v>0</v>
      </c>
      <c r="EV64" s="48">
        <f t="shared" si="277"/>
        <v>0</v>
      </c>
      <c r="EW64" s="48">
        <f t="shared" si="278"/>
        <v>0</v>
      </c>
      <c r="EX64" s="48">
        <f t="shared" si="279"/>
        <v>0</v>
      </c>
      <c r="EY64" s="48">
        <f t="shared" si="280"/>
        <v>0</v>
      </c>
      <c r="EZ64" s="48">
        <f t="shared" si="281"/>
        <v>0</v>
      </c>
      <c r="FA64" s="48">
        <f t="shared" si="282"/>
        <v>0</v>
      </c>
      <c r="FB64" s="48">
        <f t="shared" si="283"/>
        <v>0</v>
      </c>
      <c r="FC64" s="48">
        <f t="shared" si="284"/>
        <v>0</v>
      </c>
      <c r="FD64" s="48">
        <f t="shared" si="285"/>
        <v>0</v>
      </c>
      <c r="FE64" s="48">
        <f t="shared" si="286"/>
        <v>0</v>
      </c>
      <c r="FF64" s="48">
        <f t="shared" si="287"/>
        <v>0</v>
      </c>
      <c r="FG64" s="48">
        <f t="shared" si="288"/>
        <v>0</v>
      </c>
      <c r="FH64" s="48">
        <f t="shared" si="289"/>
        <v>0</v>
      </c>
      <c r="FI64" s="48">
        <f t="shared" si="290"/>
        <v>0</v>
      </c>
      <c r="FJ64" s="48">
        <f t="shared" si="291"/>
        <v>0</v>
      </c>
      <c r="FK64" s="48">
        <f t="shared" si="292"/>
        <v>0</v>
      </c>
      <c r="FL64" s="48">
        <f t="shared" si="293"/>
        <v>0</v>
      </c>
      <c r="FM64" s="48">
        <f t="shared" si="294"/>
        <v>0</v>
      </c>
      <c r="FN64" s="48">
        <f t="shared" si="295"/>
        <v>0</v>
      </c>
      <c r="FO64" s="48">
        <f t="shared" si="296"/>
        <v>0</v>
      </c>
      <c r="FP64" s="48">
        <f t="shared" si="297"/>
        <v>0</v>
      </c>
      <c r="FQ64" s="48">
        <f t="shared" si="298"/>
        <v>0</v>
      </c>
      <c r="FR64" s="48">
        <f t="shared" si="299"/>
        <v>0</v>
      </c>
      <c r="FS64" s="48">
        <f t="shared" si="300"/>
        <v>0</v>
      </c>
      <c r="FT64" s="48">
        <f t="shared" si="301"/>
        <v>0</v>
      </c>
      <c r="FU64" s="48">
        <f t="shared" si="302"/>
        <v>0</v>
      </c>
      <c r="FV64" s="48">
        <f t="shared" si="303"/>
        <v>0</v>
      </c>
      <c r="FW64" s="48">
        <f t="shared" si="304"/>
        <v>0</v>
      </c>
      <c r="FX64" s="48">
        <f t="shared" si="305"/>
        <v>0</v>
      </c>
      <c r="FY64" s="48">
        <f t="shared" si="306"/>
        <v>0</v>
      </c>
      <c r="FZ64" s="48">
        <f t="shared" si="307"/>
        <v>0</v>
      </c>
      <c r="GA64" s="48">
        <f t="shared" si="308"/>
        <v>0</v>
      </c>
      <c r="GB64" s="48">
        <f t="shared" si="309"/>
        <v>0</v>
      </c>
      <c r="GC64" s="48">
        <f t="shared" si="310"/>
        <v>0</v>
      </c>
      <c r="GG64">
        <f t="shared" si="311"/>
        <v>0</v>
      </c>
    </row>
    <row r="65" spans="1:189" x14ac:dyDescent="0.25">
      <c r="A65" s="690"/>
      <c r="B65" s="690"/>
      <c r="C65" s="690"/>
      <c r="D65" s="690"/>
      <c r="E65" s="690"/>
      <c r="F65" s="690"/>
      <c r="G65" s="889"/>
      <c r="H65" s="690"/>
      <c r="I65" s="690"/>
      <c r="J65" s="690"/>
      <c r="K65" s="690"/>
      <c r="L65" s="690"/>
      <c r="M65" s="690"/>
      <c r="N65" s="507" t="str">
        <f t="shared" si="159"/>
        <v/>
      </c>
      <c r="O65" s="690"/>
      <c r="P65" s="507" t="str">
        <f t="shared" si="158"/>
        <v/>
      </c>
      <c r="Q65" s="690"/>
      <c r="R65" s="690"/>
      <c r="S65" s="690"/>
      <c r="T65" s="690"/>
      <c r="U65">
        <f t="shared" si="312"/>
        <v>0</v>
      </c>
      <c r="V65">
        <f t="shared" si="313"/>
        <v>0</v>
      </c>
      <c r="X65">
        <f t="shared" si="314"/>
        <v>0</v>
      </c>
      <c r="Y65">
        <f t="shared" si="315"/>
        <v>0</v>
      </c>
      <c r="Z65">
        <f t="shared" si="316"/>
        <v>0</v>
      </c>
      <c r="AA65">
        <f t="shared" si="317"/>
        <v>0</v>
      </c>
      <c r="AB65" s="25"/>
      <c r="AC65" s="25"/>
      <c r="AD65" s="25"/>
      <c r="AF65" s="48" t="s">
        <v>720</v>
      </c>
      <c r="AG65" s="689"/>
      <c r="AH65" s="689"/>
      <c r="AI65" s="48">
        <f t="shared" si="160"/>
        <v>0</v>
      </c>
      <c r="AJ65" s="48">
        <f t="shared" si="161"/>
        <v>0</v>
      </c>
      <c r="AK65" s="48">
        <f t="shared" si="162"/>
        <v>0</v>
      </c>
      <c r="AL65" s="48">
        <f t="shared" si="163"/>
        <v>0</v>
      </c>
      <c r="AM65" s="48">
        <f t="shared" si="164"/>
        <v>0</v>
      </c>
      <c r="AN65" s="48">
        <f t="shared" si="165"/>
        <v>0</v>
      </c>
      <c r="AO65" s="48">
        <f t="shared" si="166"/>
        <v>0</v>
      </c>
      <c r="AP65" s="48">
        <f t="shared" si="167"/>
        <v>0</v>
      </c>
      <c r="AQ65" s="48">
        <f t="shared" si="168"/>
        <v>0</v>
      </c>
      <c r="AR65" s="48">
        <f t="shared" si="169"/>
        <v>0</v>
      </c>
      <c r="AS65" s="48">
        <f t="shared" si="170"/>
        <v>0</v>
      </c>
      <c r="AT65" s="48">
        <f t="shared" si="171"/>
        <v>0</v>
      </c>
      <c r="AU65" s="48">
        <f t="shared" si="172"/>
        <v>0</v>
      </c>
      <c r="AV65" s="48">
        <f t="shared" si="173"/>
        <v>0</v>
      </c>
      <c r="AW65" s="48">
        <f t="shared" si="174"/>
        <v>0</v>
      </c>
      <c r="AX65" s="48">
        <f t="shared" si="175"/>
        <v>0</v>
      </c>
      <c r="AY65" s="48">
        <f t="shared" si="176"/>
        <v>0</v>
      </c>
      <c r="AZ65" s="48">
        <f t="shared" si="177"/>
        <v>0</v>
      </c>
      <c r="BA65" s="48">
        <f t="shared" si="178"/>
        <v>0</v>
      </c>
      <c r="BB65" s="48">
        <f t="shared" si="179"/>
        <v>0</v>
      </c>
      <c r="BC65" s="48">
        <f t="shared" si="180"/>
        <v>0</v>
      </c>
      <c r="BD65" s="48">
        <f t="shared" si="181"/>
        <v>0</v>
      </c>
      <c r="BE65" s="48">
        <f t="shared" si="182"/>
        <v>0</v>
      </c>
      <c r="BF65" s="48">
        <f t="shared" si="183"/>
        <v>0</v>
      </c>
      <c r="BG65" s="48">
        <f t="shared" si="184"/>
        <v>0</v>
      </c>
      <c r="BH65" s="48">
        <f t="shared" si="185"/>
        <v>0</v>
      </c>
      <c r="BI65" s="48">
        <f t="shared" si="186"/>
        <v>0</v>
      </c>
      <c r="BJ65" s="48">
        <f t="shared" si="187"/>
        <v>0</v>
      </c>
      <c r="BK65" s="48">
        <f t="shared" si="188"/>
        <v>0</v>
      </c>
      <c r="BL65" s="48">
        <f t="shared" si="189"/>
        <v>0</v>
      </c>
      <c r="BM65" s="48">
        <f t="shared" si="190"/>
        <v>0</v>
      </c>
      <c r="BN65" s="48">
        <f t="shared" si="191"/>
        <v>0</v>
      </c>
      <c r="BO65" s="48">
        <f t="shared" si="192"/>
        <v>0</v>
      </c>
      <c r="BP65" s="48">
        <f t="shared" si="193"/>
        <v>0</v>
      </c>
      <c r="BQ65" s="48">
        <f t="shared" si="194"/>
        <v>0</v>
      </c>
      <c r="BR65" s="48">
        <f t="shared" si="195"/>
        <v>0</v>
      </c>
      <c r="BS65" s="48">
        <f t="shared" si="196"/>
        <v>0</v>
      </c>
      <c r="BT65" s="48">
        <f t="shared" si="197"/>
        <v>0</v>
      </c>
      <c r="BU65" s="48">
        <f t="shared" si="198"/>
        <v>0</v>
      </c>
      <c r="BV65" s="48">
        <f t="shared" si="199"/>
        <v>0</v>
      </c>
      <c r="BW65" s="48">
        <f t="shared" si="200"/>
        <v>0</v>
      </c>
      <c r="BX65" s="48">
        <f t="shared" si="201"/>
        <v>0</v>
      </c>
      <c r="BY65" s="48">
        <f t="shared" si="202"/>
        <v>0</v>
      </c>
      <c r="BZ65" s="48">
        <f t="shared" si="203"/>
        <v>0</v>
      </c>
      <c r="CA65" s="48">
        <f t="shared" si="204"/>
        <v>0</v>
      </c>
      <c r="CB65" s="48">
        <f t="shared" si="205"/>
        <v>0</v>
      </c>
      <c r="CC65" s="48">
        <f t="shared" si="206"/>
        <v>0</v>
      </c>
      <c r="CD65" s="48">
        <f t="shared" si="207"/>
        <v>0</v>
      </c>
      <c r="CE65" s="48">
        <f t="shared" si="208"/>
        <v>0</v>
      </c>
      <c r="CF65" s="48">
        <f t="shared" si="209"/>
        <v>0</v>
      </c>
      <c r="CG65" s="48">
        <f t="shared" si="210"/>
        <v>0</v>
      </c>
      <c r="CH65" s="48">
        <f t="shared" si="211"/>
        <v>0</v>
      </c>
      <c r="CI65" s="48">
        <f t="shared" si="212"/>
        <v>0</v>
      </c>
      <c r="CJ65" s="48">
        <f t="shared" si="213"/>
        <v>0</v>
      </c>
      <c r="CK65" s="48">
        <f t="shared" si="214"/>
        <v>0</v>
      </c>
      <c r="CL65" s="48">
        <f t="shared" si="215"/>
        <v>0</v>
      </c>
      <c r="CM65" s="48">
        <f t="shared" si="216"/>
        <v>0</v>
      </c>
      <c r="CN65" s="48">
        <f t="shared" si="217"/>
        <v>0</v>
      </c>
      <c r="CO65" s="48">
        <f t="shared" si="218"/>
        <v>0</v>
      </c>
      <c r="CP65" s="48">
        <f t="shared" si="219"/>
        <v>0</v>
      </c>
      <c r="CQ65" s="48">
        <f t="shared" si="220"/>
        <v>0</v>
      </c>
      <c r="CR65" s="48">
        <f t="shared" si="221"/>
        <v>0</v>
      </c>
      <c r="CS65" s="48">
        <f t="shared" si="222"/>
        <v>0</v>
      </c>
      <c r="CT65" s="48">
        <f t="shared" si="223"/>
        <v>0</v>
      </c>
      <c r="CU65" s="48">
        <f t="shared" si="224"/>
        <v>0</v>
      </c>
      <c r="CV65" s="48">
        <f t="shared" si="225"/>
        <v>0</v>
      </c>
      <c r="CW65" s="48">
        <f t="shared" si="226"/>
        <v>0</v>
      </c>
      <c r="CX65" s="48">
        <f t="shared" si="227"/>
        <v>0</v>
      </c>
      <c r="CY65" s="48">
        <f t="shared" si="228"/>
        <v>0</v>
      </c>
      <c r="CZ65" s="48">
        <f t="shared" si="229"/>
        <v>0</v>
      </c>
      <c r="DA65" s="48">
        <f t="shared" si="230"/>
        <v>0</v>
      </c>
      <c r="DB65" s="48">
        <f t="shared" si="231"/>
        <v>0</v>
      </c>
      <c r="DC65" s="48">
        <f t="shared" si="232"/>
        <v>0</v>
      </c>
      <c r="DD65" s="48">
        <f t="shared" si="233"/>
        <v>0</v>
      </c>
      <c r="DE65" s="48">
        <f t="shared" si="234"/>
        <v>0</v>
      </c>
      <c r="DF65" s="48">
        <f t="shared" si="235"/>
        <v>0</v>
      </c>
      <c r="DG65" s="48">
        <f t="shared" si="236"/>
        <v>0</v>
      </c>
      <c r="DH65" s="48">
        <f t="shared" si="237"/>
        <v>0</v>
      </c>
      <c r="DI65" s="48">
        <f t="shared" si="238"/>
        <v>0</v>
      </c>
      <c r="DJ65" s="48">
        <f t="shared" si="239"/>
        <v>0</v>
      </c>
      <c r="DK65" s="48">
        <f t="shared" si="240"/>
        <v>0</v>
      </c>
      <c r="DL65" s="48">
        <f t="shared" si="241"/>
        <v>0</v>
      </c>
      <c r="DM65" s="48">
        <f t="shared" si="242"/>
        <v>0</v>
      </c>
      <c r="DN65" s="48">
        <f t="shared" si="243"/>
        <v>0</v>
      </c>
      <c r="DO65" s="48">
        <f t="shared" si="244"/>
        <v>0</v>
      </c>
      <c r="DP65" s="48">
        <f t="shared" si="245"/>
        <v>0</v>
      </c>
      <c r="DQ65" s="48">
        <f t="shared" si="246"/>
        <v>0</v>
      </c>
      <c r="DR65" s="48">
        <f t="shared" si="247"/>
        <v>0</v>
      </c>
      <c r="DS65" s="48">
        <f t="shared" si="248"/>
        <v>0</v>
      </c>
      <c r="DT65" s="48">
        <f t="shared" si="249"/>
        <v>0</v>
      </c>
      <c r="DU65" s="48">
        <f t="shared" si="250"/>
        <v>0</v>
      </c>
      <c r="DV65" s="48">
        <f t="shared" si="251"/>
        <v>0</v>
      </c>
      <c r="DW65" s="48">
        <f t="shared" si="252"/>
        <v>0</v>
      </c>
      <c r="DX65" s="48">
        <f t="shared" si="253"/>
        <v>0</v>
      </c>
      <c r="DY65" s="48">
        <f t="shared" si="254"/>
        <v>0</v>
      </c>
      <c r="DZ65" s="48">
        <f t="shared" si="255"/>
        <v>0</v>
      </c>
      <c r="EA65" s="48">
        <f t="shared" si="256"/>
        <v>0</v>
      </c>
      <c r="EB65" s="48">
        <f t="shared" si="257"/>
        <v>0</v>
      </c>
      <c r="EC65" s="48">
        <f t="shared" si="258"/>
        <v>0</v>
      </c>
      <c r="ED65" s="48">
        <f t="shared" si="259"/>
        <v>0</v>
      </c>
      <c r="EE65" s="48">
        <f t="shared" si="260"/>
        <v>0</v>
      </c>
      <c r="EF65" s="48">
        <f t="shared" si="261"/>
        <v>0</v>
      </c>
      <c r="EG65" s="48">
        <f t="shared" si="262"/>
        <v>0</v>
      </c>
      <c r="EH65" s="48">
        <f t="shared" si="263"/>
        <v>0</v>
      </c>
      <c r="EI65" s="48">
        <f t="shared" si="264"/>
        <v>0</v>
      </c>
      <c r="EJ65" s="48">
        <f t="shared" si="265"/>
        <v>0</v>
      </c>
      <c r="EK65" s="48">
        <f t="shared" si="266"/>
        <v>0</v>
      </c>
      <c r="EL65" s="48">
        <f t="shared" si="267"/>
        <v>0</v>
      </c>
      <c r="EM65" s="48">
        <f t="shared" si="268"/>
        <v>0</v>
      </c>
      <c r="EN65" s="48">
        <f t="shared" si="269"/>
        <v>0</v>
      </c>
      <c r="EO65" s="48">
        <f t="shared" si="270"/>
        <v>0</v>
      </c>
      <c r="EP65" s="48">
        <f t="shared" si="271"/>
        <v>0</v>
      </c>
      <c r="EQ65" s="48">
        <f t="shared" si="272"/>
        <v>0</v>
      </c>
      <c r="ER65" s="48">
        <f t="shared" si="273"/>
        <v>0</v>
      </c>
      <c r="ES65" s="48">
        <f t="shared" si="274"/>
        <v>0</v>
      </c>
      <c r="ET65" s="48">
        <f t="shared" si="275"/>
        <v>0</v>
      </c>
      <c r="EU65" s="48">
        <f t="shared" si="276"/>
        <v>0</v>
      </c>
      <c r="EV65" s="48">
        <f t="shared" si="277"/>
        <v>0</v>
      </c>
      <c r="EW65" s="48">
        <f t="shared" si="278"/>
        <v>0</v>
      </c>
      <c r="EX65" s="48">
        <f t="shared" si="279"/>
        <v>0</v>
      </c>
      <c r="EY65" s="48">
        <f t="shared" si="280"/>
        <v>0</v>
      </c>
      <c r="EZ65" s="48">
        <f t="shared" si="281"/>
        <v>0</v>
      </c>
      <c r="FA65" s="48">
        <f t="shared" si="282"/>
        <v>0</v>
      </c>
      <c r="FB65" s="48">
        <f t="shared" si="283"/>
        <v>0</v>
      </c>
      <c r="FC65" s="48">
        <f t="shared" si="284"/>
        <v>0</v>
      </c>
      <c r="FD65" s="48">
        <f t="shared" si="285"/>
        <v>0</v>
      </c>
      <c r="FE65" s="48">
        <f t="shared" si="286"/>
        <v>0</v>
      </c>
      <c r="FF65" s="48">
        <f t="shared" si="287"/>
        <v>0</v>
      </c>
      <c r="FG65" s="48">
        <f t="shared" si="288"/>
        <v>0</v>
      </c>
      <c r="FH65" s="48">
        <f t="shared" si="289"/>
        <v>0</v>
      </c>
      <c r="FI65" s="48">
        <f t="shared" si="290"/>
        <v>0</v>
      </c>
      <c r="FJ65" s="48">
        <f t="shared" si="291"/>
        <v>0</v>
      </c>
      <c r="FK65" s="48">
        <f t="shared" si="292"/>
        <v>0</v>
      </c>
      <c r="FL65" s="48">
        <f t="shared" si="293"/>
        <v>0</v>
      </c>
      <c r="FM65" s="48">
        <f t="shared" si="294"/>
        <v>0</v>
      </c>
      <c r="FN65" s="48">
        <f t="shared" si="295"/>
        <v>0</v>
      </c>
      <c r="FO65" s="48">
        <f t="shared" si="296"/>
        <v>0</v>
      </c>
      <c r="FP65" s="48">
        <f t="shared" si="297"/>
        <v>0</v>
      </c>
      <c r="FQ65" s="48">
        <f t="shared" si="298"/>
        <v>0</v>
      </c>
      <c r="FR65" s="48">
        <f t="shared" si="299"/>
        <v>0</v>
      </c>
      <c r="FS65" s="48">
        <f t="shared" si="300"/>
        <v>0</v>
      </c>
      <c r="FT65" s="48">
        <f t="shared" si="301"/>
        <v>0</v>
      </c>
      <c r="FU65" s="48">
        <f t="shared" si="302"/>
        <v>0</v>
      </c>
      <c r="FV65" s="48">
        <f t="shared" si="303"/>
        <v>0</v>
      </c>
      <c r="FW65" s="48">
        <f t="shared" si="304"/>
        <v>0</v>
      </c>
      <c r="FX65" s="48">
        <f t="shared" si="305"/>
        <v>0</v>
      </c>
      <c r="FY65" s="48">
        <f t="shared" si="306"/>
        <v>0</v>
      </c>
      <c r="FZ65" s="48">
        <f t="shared" si="307"/>
        <v>0</v>
      </c>
      <c r="GA65" s="48">
        <f t="shared" si="308"/>
        <v>0</v>
      </c>
      <c r="GB65" s="48">
        <f t="shared" si="309"/>
        <v>0</v>
      </c>
      <c r="GC65" s="48">
        <f t="shared" si="310"/>
        <v>0</v>
      </c>
      <c r="GG65">
        <f t="shared" si="311"/>
        <v>0</v>
      </c>
    </row>
    <row r="66" spans="1:189" x14ac:dyDescent="0.25">
      <c r="A66" s="690"/>
      <c r="B66" s="690"/>
      <c r="C66" s="690"/>
      <c r="D66" s="690"/>
      <c r="E66" s="690"/>
      <c r="F66" s="690"/>
      <c r="G66" s="889"/>
      <c r="H66" s="690"/>
      <c r="I66" s="690"/>
      <c r="J66" s="690"/>
      <c r="K66" s="690"/>
      <c r="L66" s="690"/>
      <c r="M66" s="690"/>
      <c r="N66" s="507" t="str">
        <f t="shared" si="159"/>
        <v/>
      </c>
      <c r="O66" s="690"/>
      <c r="P66" s="507" t="str">
        <f t="shared" si="158"/>
        <v/>
      </c>
      <c r="Q66" s="690"/>
      <c r="R66" s="690"/>
      <c r="S66" s="690"/>
      <c r="T66" s="690"/>
      <c r="U66">
        <f t="shared" si="312"/>
        <v>0</v>
      </c>
      <c r="V66">
        <f t="shared" si="313"/>
        <v>0</v>
      </c>
      <c r="X66">
        <f t="shared" si="314"/>
        <v>0</v>
      </c>
      <c r="Y66">
        <f t="shared" si="315"/>
        <v>0</v>
      </c>
      <c r="Z66">
        <f t="shared" si="316"/>
        <v>0</v>
      </c>
      <c r="AA66">
        <f t="shared" si="317"/>
        <v>0</v>
      </c>
      <c r="AB66" s="25"/>
      <c r="AC66" s="25"/>
      <c r="AD66" s="25"/>
      <c r="AF66" s="48" t="s">
        <v>721</v>
      </c>
      <c r="AG66" s="689"/>
      <c r="AH66" s="689"/>
      <c r="AI66" s="48">
        <f t="shared" si="160"/>
        <v>0</v>
      </c>
      <c r="AJ66" s="48">
        <f t="shared" si="161"/>
        <v>0</v>
      </c>
      <c r="AK66" s="48">
        <f t="shared" si="162"/>
        <v>0</v>
      </c>
      <c r="AL66" s="48">
        <f t="shared" si="163"/>
        <v>0</v>
      </c>
      <c r="AM66" s="48">
        <f t="shared" si="164"/>
        <v>0</v>
      </c>
      <c r="AN66" s="48">
        <f t="shared" si="165"/>
        <v>0</v>
      </c>
      <c r="AO66" s="48">
        <f t="shared" si="166"/>
        <v>0</v>
      </c>
      <c r="AP66" s="48">
        <f t="shared" si="167"/>
        <v>0</v>
      </c>
      <c r="AQ66" s="48">
        <f t="shared" si="168"/>
        <v>0</v>
      </c>
      <c r="AR66" s="48">
        <f t="shared" si="169"/>
        <v>0</v>
      </c>
      <c r="AS66" s="48">
        <f t="shared" si="170"/>
        <v>0</v>
      </c>
      <c r="AT66" s="48">
        <f t="shared" si="171"/>
        <v>0</v>
      </c>
      <c r="AU66" s="48">
        <f t="shared" si="172"/>
        <v>0</v>
      </c>
      <c r="AV66" s="48">
        <f t="shared" si="173"/>
        <v>0</v>
      </c>
      <c r="AW66" s="48">
        <f t="shared" si="174"/>
        <v>0</v>
      </c>
      <c r="AX66" s="48">
        <f t="shared" si="175"/>
        <v>0</v>
      </c>
      <c r="AY66" s="48">
        <f t="shared" si="176"/>
        <v>0</v>
      </c>
      <c r="AZ66" s="48">
        <f t="shared" si="177"/>
        <v>0</v>
      </c>
      <c r="BA66" s="48">
        <f t="shared" si="178"/>
        <v>0</v>
      </c>
      <c r="BB66" s="48">
        <f t="shared" si="179"/>
        <v>0</v>
      </c>
      <c r="BC66" s="48">
        <f t="shared" si="180"/>
        <v>0</v>
      </c>
      <c r="BD66" s="48">
        <f t="shared" si="181"/>
        <v>0</v>
      </c>
      <c r="BE66" s="48">
        <f t="shared" si="182"/>
        <v>0</v>
      </c>
      <c r="BF66" s="48">
        <f t="shared" si="183"/>
        <v>0</v>
      </c>
      <c r="BG66" s="48">
        <f t="shared" si="184"/>
        <v>0</v>
      </c>
      <c r="BH66" s="48">
        <f t="shared" si="185"/>
        <v>0</v>
      </c>
      <c r="BI66" s="48">
        <f t="shared" si="186"/>
        <v>0</v>
      </c>
      <c r="BJ66" s="48">
        <f t="shared" si="187"/>
        <v>0</v>
      </c>
      <c r="BK66" s="48">
        <f t="shared" si="188"/>
        <v>0</v>
      </c>
      <c r="BL66" s="48">
        <f t="shared" si="189"/>
        <v>0</v>
      </c>
      <c r="BM66" s="48">
        <f t="shared" si="190"/>
        <v>0</v>
      </c>
      <c r="BN66" s="48">
        <f t="shared" si="191"/>
        <v>0</v>
      </c>
      <c r="BO66" s="48">
        <f t="shared" si="192"/>
        <v>0</v>
      </c>
      <c r="BP66" s="48">
        <f t="shared" si="193"/>
        <v>0</v>
      </c>
      <c r="BQ66" s="48">
        <f t="shared" si="194"/>
        <v>0</v>
      </c>
      <c r="BR66" s="48">
        <f t="shared" si="195"/>
        <v>0</v>
      </c>
      <c r="BS66" s="48">
        <f t="shared" si="196"/>
        <v>0</v>
      </c>
      <c r="BT66" s="48">
        <f t="shared" si="197"/>
        <v>0</v>
      </c>
      <c r="BU66" s="48">
        <f t="shared" si="198"/>
        <v>0</v>
      </c>
      <c r="BV66" s="48">
        <f t="shared" si="199"/>
        <v>0</v>
      </c>
      <c r="BW66" s="48">
        <f t="shared" si="200"/>
        <v>0</v>
      </c>
      <c r="BX66" s="48">
        <f t="shared" si="201"/>
        <v>0</v>
      </c>
      <c r="BY66" s="48">
        <f t="shared" si="202"/>
        <v>0</v>
      </c>
      <c r="BZ66" s="48">
        <f t="shared" si="203"/>
        <v>0</v>
      </c>
      <c r="CA66" s="48">
        <f t="shared" si="204"/>
        <v>0</v>
      </c>
      <c r="CB66" s="48">
        <f t="shared" si="205"/>
        <v>0</v>
      </c>
      <c r="CC66" s="48">
        <f t="shared" si="206"/>
        <v>0</v>
      </c>
      <c r="CD66" s="48">
        <f t="shared" si="207"/>
        <v>0</v>
      </c>
      <c r="CE66" s="48">
        <f t="shared" si="208"/>
        <v>0</v>
      </c>
      <c r="CF66" s="48">
        <f t="shared" si="209"/>
        <v>0</v>
      </c>
      <c r="CG66" s="48">
        <f t="shared" si="210"/>
        <v>0</v>
      </c>
      <c r="CH66" s="48">
        <f t="shared" si="211"/>
        <v>0</v>
      </c>
      <c r="CI66" s="48">
        <f t="shared" si="212"/>
        <v>0</v>
      </c>
      <c r="CJ66" s="48">
        <f t="shared" si="213"/>
        <v>0</v>
      </c>
      <c r="CK66" s="48">
        <f t="shared" si="214"/>
        <v>0</v>
      </c>
      <c r="CL66" s="48">
        <f t="shared" si="215"/>
        <v>0</v>
      </c>
      <c r="CM66" s="48">
        <f t="shared" si="216"/>
        <v>0</v>
      </c>
      <c r="CN66" s="48">
        <f t="shared" si="217"/>
        <v>0</v>
      </c>
      <c r="CO66" s="48">
        <f t="shared" si="218"/>
        <v>0</v>
      </c>
      <c r="CP66" s="48">
        <f t="shared" si="219"/>
        <v>0</v>
      </c>
      <c r="CQ66" s="48">
        <f t="shared" si="220"/>
        <v>0</v>
      </c>
      <c r="CR66" s="48">
        <f t="shared" si="221"/>
        <v>0</v>
      </c>
      <c r="CS66" s="48">
        <f t="shared" si="222"/>
        <v>0</v>
      </c>
      <c r="CT66" s="48">
        <f t="shared" si="223"/>
        <v>0</v>
      </c>
      <c r="CU66" s="48">
        <f t="shared" si="224"/>
        <v>0</v>
      </c>
      <c r="CV66" s="48">
        <f t="shared" si="225"/>
        <v>0</v>
      </c>
      <c r="CW66" s="48">
        <f t="shared" si="226"/>
        <v>0</v>
      </c>
      <c r="CX66" s="48">
        <f t="shared" si="227"/>
        <v>0</v>
      </c>
      <c r="CY66" s="48">
        <f t="shared" si="228"/>
        <v>0</v>
      </c>
      <c r="CZ66" s="48">
        <f t="shared" si="229"/>
        <v>0</v>
      </c>
      <c r="DA66" s="48">
        <f t="shared" si="230"/>
        <v>0</v>
      </c>
      <c r="DB66" s="48">
        <f t="shared" si="231"/>
        <v>0</v>
      </c>
      <c r="DC66" s="48">
        <f t="shared" si="232"/>
        <v>0</v>
      </c>
      <c r="DD66" s="48">
        <f t="shared" si="233"/>
        <v>0</v>
      </c>
      <c r="DE66" s="48">
        <f t="shared" si="234"/>
        <v>0</v>
      </c>
      <c r="DF66" s="48">
        <f t="shared" si="235"/>
        <v>0</v>
      </c>
      <c r="DG66" s="48">
        <f t="shared" si="236"/>
        <v>0</v>
      </c>
      <c r="DH66" s="48">
        <f t="shared" si="237"/>
        <v>0</v>
      </c>
      <c r="DI66" s="48">
        <f t="shared" si="238"/>
        <v>0</v>
      </c>
      <c r="DJ66" s="48">
        <f t="shared" si="239"/>
        <v>0</v>
      </c>
      <c r="DK66" s="48">
        <f t="shared" si="240"/>
        <v>0</v>
      </c>
      <c r="DL66" s="48">
        <f t="shared" si="241"/>
        <v>0</v>
      </c>
      <c r="DM66" s="48">
        <f t="shared" si="242"/>
        <v>0</v>
      </c>
      <c r="DN66" s="48">
        <f t="shared" si="243"/>
        <v>0</v>
      </c>
      <c r="DO66" s="48">
        <f t="shared" si="244"/>
        <v>0</v>
      </c>
      <c r="DP66" s="48">
        <f t="shared" si="245"/>
        <v>0</v>
      </c>
      <c r="DQ66" s="48">
        <f t="shared" si="246"/>
        <v>0</v>
      </c>
      <c r="DR66" s="48">
        <f t="shared" si="247"/>
        <v>0</v>
      </c>
      <c r="DS66" s="48">
        <f t="shared" si="248"/>
        <v>0</v>
      </c>
      <c r="DT66" s="48">
        <f t="shared" si="249"/>
        <v>0</v>
      </c>
      <c r="DU66" s="48">
        <f t="shared" si="250"/>
        <v>0</v>
      </c>
      <c r="DV66" s="48">
        <f t="shared" si="251"/>
        <v>0</v>
      </c>
      <c r="DW66" s="48">
        <f t="shared" si="252"/>
        <v>0</v>
      </c>
      <c r="DX66" s="48">
        <f t="shared" si="253"/>
        <v>0</v>
      </c>
      <c r="DY66" s="48">
        <f t="shared" si="254"/>
        <v>0</v>
      </c>
      <c r="DZ66" s="48">
        <f t="shared" si="255"/>
        <v>0</v>
      </c>
      <c r="EA66" s="48">
        <f t="shared" si="256"/>
        <v>0</v>
      </c>
      <c r="EB66" s="48">
        <f t="shared" si="257"/>
        <v>0</v>
      </c>
      <c r="EC66" s="48">
        <f t="shared" si="258"/>
        <v>0</v>
      </c>
      <c r="ED66" s="48">
        <f t="shared" si="259"/>
        <v>0</v>
      </c>
      <c r="EE66" s="48">
        <f t="shared" si="260"/>
        <v>0</v>
      </c>
      <c r="EF66" s="48">
        <f t="shared" si="261"/>
        <v>0</v>
      </c>
      <c r="EG66" s="48">
        <f t="shared" si="262"/>
        <v>0</v>
      </c>
      <c r="EH66" s="48">
        <f t="shared" si="263"/>
        <v>0</v>
      </c>
      <c r="EI66" s="48">
        <f t="shared" si="264"/>
        <v>0</v>
      </c>
      <c r="EJ66" s="48">
        <f t="shared" si="265"/>
        <v>0</v>
      </c>
      <c r="EK66" s="48">
        <f t="shared" si="266"/>
        <v>0</v>
      </c>
      <c r="EL66" s="48">
        <f t="shared" si="267"/>
        <v>0</v>
      </c>
      <c r="EM66" s="48">
        <f t="shared" si="268"/>
        <v>0</v>
      </c>
      <c r="EN66" s="48">
        <f t="shared" si="269"/>
        <v>0</v>
      </c>
      <c r="EO66" s="48">
        <f t="shared" si="270"/>
        <v>0</v>
      </c>
      <c r="EP66" s="48">
        <f t="shared" si="271"/>
        <v>0</v>
      </c>
      <c r="EQ66" s="48">
        <f t="shared" si="272"/>
        <v>0</v>
      </c>
      <c r="ER66" s="48">
        <f t="shared" si="273"/>
        <v>0</v>
      </c>
      <c r="ES66" s="48">
        <f t="shared" si="274"/>
        <v>0</v>
      </c>
      <c r="ET66" s="48">
        <f t="shared" si="275"/>
        <v>0</v>
      </c>
      <c r="EU66" s="48">
        <f t="shared" si="276"/>
        <v>0</v>
      </c>
      <c r="EV66" s="48">
        <f t="shared" si="277"/>
        <v>0</v>
      </c>
      <c r="EW66" s="48">
        <f t="shared" si="278"/>
        <v>0</v>
      </c>
      <c r="EX66" s="48">
        <f t="shared" si="279"/>
        <v>0</v>
      </c>
      <c r="EY66" s="48">
        <f t="shared" si="280"/>
        <v>0</v>
      </c>
      <c r="EZ66" s="48">
        <f t="shared" si="281"/>
        <v>0</v>
      </c>
      <c r="FA66" s="48">
        <f t="shared" si="282"/>
        <v>0</v>
      </c>
      <c r="FB66" s="48">
        <f t="shared" si="283"/>
        <v>0</v>
      </c>
      <c r="FC66" s="48">
        <f t="shared" si="284"/>
        <v>0</v>
      </c>
      <c r="FD66" s="48">
        <f t="shared" si="285"/>
        <v>0</v>
      </c>
      <c r="FE66" s="48">
        <f t="shared" si="286"/>
        <v>0</v>
      </c>
      <c r="FF66" s="48">
        <f t="shared" si="287"/>
        <v>0</v>
      </c>
      <c r="FG66" s="48">
        <f t="shared" si="288"/>
        <v>0</v>
      </c>
      <c r="FH66" s="48">
        <f t="shared" si="289"/>
        <v>0</v>
      </c>
      <c r="FI66" s="48">
        <f t="shared" si="290"/>
        <v>0</v>
      </c>
      <c r="FJ66" s="48">
        <f t="shared" si="291"/>
        <v>0</v>
      </c>
      <c r="FK66" s="48">
        <f t="shared" si="292"/>
        <v>0</v>
      </c>
      <c r="FL66" s="48">
        <f t="shared" si="293"/>
        <v>0</v>
      </c>
      <c r="FM66" s="48">
        <f t="shared" si="294"/>
        <v>0</v>
      </c>
      <c r="FN66" s="48">
        <f t="shared" si="295"/>
        <v>0</v>
      </c>
      <c r="FO66" s="48">
        <f t="shared" si="296"/>
        <v>0</v>
      </c>
      <c r="FP66" s="48">
        <f t="shared" si="297"/>
        <v>0</v>
      </c>
      <c r="FQ66" s="48">
        <f t="shared" si="298"/>
        <v>0</v>
      </c>
      <c r="FR66" s="48">
        <f t="shared" si="299"/>
        <v>0</v>
      </c>
      <c r="FS66" s="48">
        <f t="shared" si="300"/>
        <v>0</v>
      </c>
      <c r="FT66" s="48">
        <f t="shared" si="301"/>
        <v>0</v>
      </c>
      <c r="FU66" s="48">
        <f t="shared" si="302"/>
        <v>0</v>
      </c>
      <c r="FV66" s="48">
        <f t="shared" si="303"/>
        <v>0</v>
      </c>
      <c r="FW66" s="48">
        <f t="shared" si="304"/>
        <v>0</v>
      </c>
      <c r="FX66" s="48">
        <f t="shared" si="305"/>
        <v>0</v>
      </c>
      <c r="FY66" s="48">
        <f t="shared" si="306"/>
        <v>0</v>
      </c>
      <c r="FZ66" s="48">
        <f t="shared" si="307"/>
        <v>0</v>
      </c>
      <c r="GA66" s="48">
        <f t="shared" si="308"/>
        <v>0</v>
      </c>
      <c r="GB66" s="48">
        <f t="shared" si="309"/>
        <v>0</v>
      </c>
      <c r="GC66" s="48">
        <f t="shared" si="310"/>
        <v>0</v>
      </c>
      <c r="GG66">
        <f t="shared" si="311"/>
        <v>0</v>
      </c>
    </row>
    <row r="67" spans="1:189" x14ac:dyDescent="0.25">
      <c r="A67" s="690"/>
      <c r="B67" s="690"/>
      <c r="C67" s="690"/>
      <c r="D67" s="690"/>
      <c r="E67" s="690"/>
      <c r="F67" s="690"/>
      <c r="G67" s="889"/>
      <c r="H67" s="690"/>
      <c r="I67" s="690"/>
      <c r="J67" s="690"/>
      <c r="K67" s="690"/>
      <c r="L67" s="690"/>
      <c r="M67" s="690"/>
      <c r="N67" s="507" t="str">
        <f t="shared" si="159"/>
        <v/>
      </c>
      <c r="O67" s="690"/>
      <c r="P67" s="507" t="str">
        <f t="shared" si="158"/>
        <v/>
      </c>
      <c r="Q67" s="690"/>
      <c r="R67" s="690"/>
      <c r="S67" s="690"/>
      <c r="T67" s="690"/>
      <c r="U67">
        <f t="shared" si="312"/>
        <v>0</v>
      </c>
      <c r="V67">
        <f t="shared" si="313"/>
        <v>0</v>
      </c>
      <c r="X67">
        <f t="shared" si="314"/>
        <v>0</v>
      </c>
      <c r="Y67">
        <f t="shared" si="315"/>
        <v>0</v>
      </c>
      <c r="Z67">
        <f t="shared" si="316"/>
        <v>0</v>
      </c>
      <c r="AA67">
        <f t="shared" si="317"/>
        <v>0</v>
      </c>
      <c r="AB67" s="25"/>
      <c r="AC67" s="25"/>
      <c r="AD67" s="25"/>
      <c r="AF67" s="48" t="s">
        <v>722</v>
      </c>
      <c r="AG67" s="689"/>
      <c r="AH67" s="689"/>
      <c r="AI67" s="48">
        <f t="shared" si="160"/>
        <v>0</v>
      </c>
      <c r="AJ67" s="48">
        <f t="shared" si="161"/>
        <v>0</v>
      </c>
      <c r="AK67" s="48">
        <f t="shared" si="162"/>
        <v>0</v>
      </c>
      <c r="AL67" s="48">
        <f t="shared" si="163"/>
        <v>0</v>
      </c>
      <c r="AM67" s="48">
        <f t="shared" si="164"/>
        <v>0</v>
      </c>
      <c r="AN67" s="48">
        <f t="shared" si="165"/>
        <v>0</v>
      </c>
      <c r="AO67" s="48">
        <f t="shared" si="166"/>
        <v>0</v>
      </c>
      <c r="AP67" s="48">
        <f t="shared" si="167"/>
        <v>0</v>
      </c>
      <c r="AQ67" s="48">
        <f t="shared" si="168"/>
        <v>0</v>
      </c>
      <c r="AR67" s="48">
        <f t="shared" si="169"/>
        <v>0</v>
      </c>
      <c r="AS67" s="48">
        <f t="shared" si="170"/>
        <v>0</v>
      </c>
      <c r="AT67" s="48">
        <f t="shared" si="171"/>
        <v>0</v>
      </c>
      <c r="AU67" s="48">
        <f t="shared" si="172"/>
        <v>0</v>
      </c>
      <c r="AV67" s="48">
        <f t="shared" si="173"/>
        <v>0</v>
      </c>
      <c r="AW67" s="48">
        <f t="shared" si="174"/>
        <v>0</v>
      </c>
      <c r="AX67" s="48">
        <f t="shared" si="175"/>
        <v>0</v>
      </c>
      <c r="AY67" s="48">
        <f t="shared" si="176"/>
        <v>0</v>
      </c>
      <c r="AZ67" s="48">
        <f t="shared" si="177"/>
        <v>0</v>
      </c>
      <c r="BA67" s="48">
        <f t="shared" si="178"/>
        <v>0</v>
      </c>
      <c r="BB67" s="48">
        <f t="shared" si="179"/>
        <v>0</v>
      </c>
      <c r="BC67" s="48">
        <f t="shared" si="180"/>
        <v>0</v>
      </c>
      <c r="BD67" s="48">
        <f t="shared" si="181"/>
        <v>0</v>
      </c>
      <c r="BE67" s="48">
        <f t="shared" si="182"/>
        <v>0</v>
      </c>
      <c r="BF67" s="48">
        <f t="shared" si="183"/>
        <v>0</v>
      </c>
      <c r="BG67" s="48">
        <f t="shared" si="184"/>
        <v>0</v>
      </c>
      <c r="BH67" s="48">
        <f t="shared" si="185"/>
        <v>0</v>
      </c>
      <c r="BI67" s="48">
        <f t="shared" si="186"/>
        <v>0</v>
      </c>
      <c r="BJ67" s="48">
        <f t="shared" si="187"/>
        <v>0</v>
      </c>
      <c r="BK67" s="48">
        <f t="shared" si="188"/>
        <v>0</v>
      </c>
      <c r="BL67" s="48">
        <f t="shared" si="189"/>
        <v>0</v>
      </c>
      <c r="BM67" s="48">
        <f t="shared" si="190"/>
        <v>0</v>
      </c>
      <c r="BN67" s="48">
        <f t="shared" si="191"/>
        <v>0</v>
      </c>
      <c r="BO67" s="48">
        <f t="shared" si="192"/>
        <v>0</v>
      </c>
      <c r="BP67" s="48">
        <f t="shared" si="193"/>
        <v>0</v>
      </c>
      <c r="BQ67" s="48">
        <f t="shared" si="194"/>
        <v>0</v>
      </c>
      <c r="BR67" s="48">
        <f t="shared" si="195"/>
        <v>0</v>
      </c>
      <c r="BS67" s="48">
        <f t="shared" si="196"/>
        <v>0</v>
      </c>
      <c r="BT67" s="48">
        <f t="shared" si="197"/>
        <v>0</v>
      </c>
      <c r="BU67" s="48">
        <f t="shared" si="198"/>
        <v>0</v>
      </c>
      <c r="BV67" s="48">
        <f t="shared" si="199"/>
        <v>0</v>
      </c>
      <c r="BW67" s="48">
        <f t="shared" si="200"/>
        <v>0</v>
      </c>
      <c r="BX67" s="48">
        <f t="shared" si="201"/>
        <v>0</v>
      </c>
      <c r="BY67" s="48">
        <f t="shared" si="202"/>
        <v>0</v>
      </c>
      <c r="BZ67" s="48">
        <f t="shared" si="203"/>
        <v>0</v>
      </c>
      <c r="CA67" s="48">
        <f t="shared" si="204"/>
        <v>0</v>
      </c>
      <c r="CB67" s="48">
        <f t="shared" si="205"/>
        <v>0</v>
      </c>
      <c r="CC67" s="48">
        <f t="shared" si="206"/>
        <v>0</v>
      </c>
      <c r="CD67" s="48">
        <f t="shared" si="207"/>
        <v>0</v>
      </c>
      <c r="CE67" s="48">
        <f t="shared" si="208"/>
        <v>0</v>
      </c>
      <c r="CF67" s="48">
        <f t="shared" si="209"/>
        <v>0</v>
      </c>
      <c r="CG67" s="48">
        <f t="shared" si="210"/>
        <v>0</v>
      </c>
      <c r="CH67" s="48">
        <f t="shared" si="211"/>
        <v>0</v>
      </c>
      <c r="CI67" s="48">
        <f t="shared" si="212"/>
        <v>0</v>
      </c>
      <c r="CJ67" s="48">
        <f t="shared" si="213"/>
        <v>0</v>
      </c>
      <c r="CK67" s="48">
        <f t="shared" si="214"/>
        <v>0</v>
      </c>
      <c r="CL67" s="48">
        <f t="shared" si="215"/>
        <v>0</v>
      </c>
      <c r="CM67" s="48">
        <f t="shared" si="216"/>
        <v>0</v>
      </c>
      <c r="CN67" s="48">
        <f t="shared" si="217"/>
        <v>0</v>
      </c>
      <c r="CO67" s="48">
        <f t="shared" si="218"/>
        <v>0</v>
      </c>
      <c r="CP67" s="48">
        <f t="shared" si="219"/>
        <v>0</v>
      </c>
      <c r="CQ67" s="48">
        <f t="shared" si="220"/>
        <v>0</v>
      </c>
      <c r="CR67" s="48">
        <f t="shared" si="221"/>
        <v>0</v>
      </c>
      <c r="CS67" s="48">
        <f t="shared" si="222"/>
        <v>0</v>
      </c>
      <c r="CT67" s="48">
        <f t="shared" si="223"/>
        <v>0</v>
      </c>
      <c r="CU67" s="48">
        <f t="shared" si="224"/>
        <v>0</v>
      </c>
      <c r="CV67" s="48">
        <f t="shared" si="225"/>
        <v>0</v>
      </c>
      <c r="CW67" s="48">
        <f t="shared" si="226"/>
        <v>0</v>
      </c>
      <c r="CX67" s="48">
        <f t="shared" si="227"/>
        <v>0</v>
      </c>
      <c r="CY67" s="48">
        <f t="shared" si="228"/>
        <v>0</v>
      </c>
      <c r="CZ67" s="48">
        <f t="shared" si="229"/>
        <v>0</v>
      </c>
      <c r="DA67" s="48">
        <f t="shared" si="230"/>
        <v>0</v>
      </c>
      <c r="DB67" s="48">
        <f t="shared" si="231"/>
        <v>0</v>
      </c>
      <c r="DC67" s="48">
        <f t="shared" si="232"/>
        <v>0</v>
      </c>
      <c r="DD67" s="48">
        <f t="shared" si="233"/>
        <v>0</v>
      </c>
      <c r="DE67" s="48">
        <f t="shared" si="234"/>
        <v>0</v>
      </c>
      <c r="DF67" s="48">
        <f t="shared" si="235"/>
        <v>0</v>
      </c>
      <c r="DG67" s="48">
        <f t="shared" si="236"/>
        <v>0</v>
      </c>
      <c r="DH67" s="48">
        <f t="shared" si="237"/>
        <v>0</v>
      </c>
      <c r="DI67" s="48">
        <f t="shared" si="238"/>
        <v>0</v>
      </c>
      <c r="DJ67" s="48">
        <f t="shared" si="239"/>
        <v>0</v>
      </c>
      <c r="DK67" s="48">
        <f t="shared" si="240"/>
        <v>0</v>
      </c>
      <c r="DL67" s="48">
        <f t="shared" si="241"/>
        <v>0</v>
      </c>
      <c r="DM67" s="48">
        <f t="shared" si="242"/>
        <v>0</v>
      </c>
      <c r="DN67" s="48">
        <f t="shared" si="243"/>
        <v>0</v>
      </c>
      <c r="DO67" s="48">
        <f t="shared" si="244"/>
        <v>0</v>
      </c>
      <c r="DP67" s="48">
        <f t="shared" si="245"/>
        <v>0</v>
      </c>
      <c r="DQ67" s="48">
        <f t="shared" si="246"/>
        <v>0</v>
      </c>
      <c r="DR67" s="48">
        <f t="shared" si="247"/>
        <v>0</v>
      </c>
      <c r="DS67" s="48">
        <f t="shared" si="248"/>
        <v>0</v>
      </c>
      <c r="DT67" s="48">
        <f t="shared" si="249"/>
        <v>0</v>
      </c>
      <c r="DU67" s="48">
        <f t="shared" si="250"/>
        <v>0</v>
      </c>
      <c r="DV67" s="48">
        <f t="shared" si="251"/>
        <v>0</v>
      </c>
      <c r="DW67" s="48">
        <f t="shared" si="252"/>
        <v>0</v>
      </c>
      <c r="DX67" s="48">
        <f t="shared" si="253"/>
        <v>0</v>
      </c>
      <c r="DY67" s="48">
        <f t="shared" si="254"/>
        <v>0</v>
      </c>
      <c r="DZ67" s="48">
        <f t="shared" si="255"/>
        <v>0</v>
      </c>
      <c r="EA67" s="48">
        <f t="shared" si="256"/>
        <v>0</v>
      </c>
      <c r="EB67" s="48">
        <f t="shared" si="257"/>
        <v>0</v>
      </c>
      <c r="EC67" s="48">
        <f t="shared" si="258"/>
        <v>0</v>
      </c>
      <c r="ED67" s="48">
        <f t="shared" si="259"/>
        <v>0</v>
      </c>
      <c r="EE67" s="48">
        <f t="shared" si="260"/>
        <v>0</v>
      </c>
      <c r="EF67" s="48">
        <f t="shared" si="261"/>
        <v>0</v>
      </c>
      <c r="EG67" s="48">
        <f t="shared" si="262"/>
        <v>0</v>
      </c>
      <c r="EH67" s="48">
        <f t="shared" si="263"/>
        <v>0</v>
      </c>
      <c r="EI67" s="48">
        <f t="shared" si="264"/>
        <v>0</v>
      </c>
      <c r="EJ67" s="48">
        <f t="shared" si="265"/>
        <v>0</v>
      </c>
      <c r="EK67" s="48">
        <f t="shared" si="266"/>
        <v>0</v>
      </c>
      <c r="EL67" s="48">
        <f t="shared" si="267"/>
        <v>0</v>
      </c>
      <c r="EM67" s="48">
        <f t="shared" si="268"/>
        <v>0</v>
      </c>
      <c r="EN67" s="48">
        <f t="shared" si="269"/>
        <v>0</v>
      </c>
      <c r="EO67" s="48">
        <f t="shared" si="270"/>
        <v>0</v>
      </c>
      <c r="EP67" s="48">
        <f t="shared" si="271"/>
        <v>0</v>
      </c>
      <c r="EQ67" s="48">
        <f t="shared" si="272"/>
        <v>0</v>
      </c>
      <c r="ER67" s="48">
        <f t="shared" si="273"/>
        <v>0</v>
      </c>
      <c r="ES67" s="48">
        <f t="shared" si="274"/>
        <v>0</v>
      </c>
      <c r="ET67" s="48">
        <f t="shared" si="275"/>
        <v>0</v>
      </c>
      <c r="EU67" s="48">
        <f t="shared" si="276"/>
        <v>0</v>
      </c>
      <c r="EV67" s="48">
        <f t="shared" si="277"/>
        <v>0</v>
      </c>
      <c r="EW67" s="48">
        <f t="shared" si="278"/>
        <v>0</v>
      </c>
      <c r="EX67" s="48">
        <f t="shared" si="279"/>
        <v>0</v>
      </c>
      <c r="EY67" s="48">
        <f t="shared" si="280"/>
        <v>0</v>
      </c>
      <c r="EZ67" s="48">
        <f t="shared" si="281"/>
        <v>0</v>
      </c>
      <c r="FA67" s="48">
        <f t="shared" si="282"/>
        <v>0</v>
      </c>
      <c r="FB67" s="48">
        <f t="shared" si="283"/>
        <v>0</v>
      </c>
      <c r="FC67" s="48">
        <f t="shared" si="284"/>
        <v>0</v>
      </c>
      <c r="FD67" s="48">
        <f t="shared" si="285"/>
        <v>0</v>
      </c>
      <c r="FE67" s="48">
        <f t="shared" si="286"/>
        <v>0</v>
      </c>
      <c r="FF67" s="48">
        <f t="shared" si="287"/>
        <v>0</v>
      </c>
      <c r="FG67" s="48">
        <f t="shared" si="288"/>
        <v>0</v>
      </c>
      <c r="FH67" s="48">
        <f t="shared" si="289"/>
        <v>0</v>
      </c>
      <c r="FI67" s="48">
        <f t="shared" si="290"/>
        <v>0</v>
      </c>
      <c r="FJ67" s="48">
        <f t="shared" si="291"/>
        <v>0</v>
      </c>
      <c r="FK67" s="48">
        <f t="shared" si="292"/>
        <v>0</v>
      </c>
      <c r="FL67" s="48">
        <f t="shared" si="293"/>
        <v>0</v>
      </c>
      <c r="FM67" s="48">
        <f t="shared" si="294"/>
        <v>0</v>
      </c>
      <c r="FN67" s="48">
        <f t="shared" si="295"/>
        <v>0</v>
      </c>
      <c r="FO67" s="48">
        <f t="shared" si="296"/>
        <v>0</v>
      </c>
      <c r="FP67" s="48">
        <f t="shared" si="297"/>
        <v>0</v>
      </c>
      <c r="FQ67" s="48">
        <f t="shared" si="298"/>
        <v>0</v>
      </c>
      <c r="FR67" s="48">
        <f t="shared" si="299"/>
        <v>0</v>
      </c>
      <c r="FS67" s="48">
        <f t="shared" si="300"/>
        <v>0</v>
      </c>
      <c r="FT67" s="48">
        <f t="shared" si="301"/>
        <v>0</v>
      </c>
      <c r="FU67" s="48">
        <f t="shared" si="302"/>
        <v>0</v>
      </c>
      <c r="FV67" s="48">
        <f t="shared" si="303"/>
        <v>0</v>
      </c>
      <c r="FW67" s="48">
        <f t="shared" si="304"/>
        <v>0</v>
      </c>
      <c r="FX67" s="48">
        <f t="shared" si="305"/>
        <v>0</v>
      </c>
      <c r="FY67" s="48">
        <f t="shared" si="306"/>
        <v>0</v>
      </c>
      <c r="FZ67" s="48">
        <f t="shared" si="307"/>
        <v>0</v>
      </c>
      <c r="GA67" s="48">
        <f t="shared" si="308"/>
        <v>0</v>
      </c>
      <c r="GB67" s="48">
        <f t="shared" si="309"/>
        <v>0</v>
      </c>
      <c r="GC67" s="48">
        <f t="shared" si="310"/>
        <v>0</v>
      </c>
      <c r="GG67">
        <f t="shared" si="311"/>
        <v>0</v>
      </c>
    </row>
    <row r="68" spans="1:189" x14ac:dyDescent="0.25">
      <c r="A68" s="690"/>
      <c r="B68" s="690"/>
      <c r="C68" s="690"/>
      <c r="D68" s="690"/>
      <c r="E68" s="690"/>
      <c r="F68" s="690"/>
      <c r="G68" s="889"/>
      <c r="H68" s="690"/>
      <c r="I68" s="690"/>
      <c r="J68" s="690"/>
      <c r="K68" s="690"/>
      <c r="L68" s="690"/>
      <c r="M68" s="690"/>
      <c r="N68" s="507" t="str">
        <f t="shared" si="159"/>
        <v/>
      </c>
      <c r="O68" s="690"/>
      <c r="P68" s="507" t="str">
        <f t="shared" si="158"/>
        <v/>
      </c>
      <c r="Q68" s="690"/>
      <c r="R68" s="690"/>
      <c r="S68" s="690"/>
      <c r="T68" s="690"/>
      <c r="U68">
        <f t="shared" si="312"/>
        <v>0</v>
      </c>
      <c r="V68">
        <f t="shared" si="313"/>
        <v>0</v>
      </c>
      <c r="X68">
        <f t="shared" si="314"/>
        <v>0</v>
      </c>
      <c r="Y68">
        <f t="shared" si="315"/>
        <v>0</v>
      </c>
      <c r="Z68">
        <f t="shared" si="316"/>
        <v>0</v>
      </c>
      <c r="AA68">
        <f t="shared" si="317"/>
        <v>0</v>
      </c>
      <c r="AB68" s="25"/>
      <c r="AC68" s="25"/>
      <c r="AD68" s="25"/>
      <c r="AF68" s="48" t="s">
        <v>723</v>
      </c>
      <c r="AG68" s="689"/>
      <c r="AH68" s="689"/>
      <c r="AI68" s="48">
        <f t="shared" si="160"/>
        <v>0</v>
      </c>
      <c r="AJ68" s="48">
        <f t="shared" si="161"/>
        <v>0</v>
      </c>
      <c r="AK68" s="48">
        <f t="shared" si="162"/>
        <v>0</v>
      </c>
      <c r="AL68" s="48">
        <f t="shared" si="163"/>
        <v>0</v>
      </c>
      <c r="AM68" s="48">
        <f t="shared" si="164"/>
        <v>0</v>
      </c>
      <c r="AN68" s="48">
        <f t="shared" si="165"/>
        <v>0</v>
      </c>
      <c r="AO68" s="48">
        <f t="shared" si="166"/>
        <v>0</v>
      </c>
      <c r="AP68" s="48">
        <f t="shared" si="167"/>
        <v>0</v>
      </c>
      <c r="AQ68" s="48">
        <f t="shared" si="168"/>
        <v>0</v>
      </c>
      <c r="AR68" s="48">
        <f t="shared" si="169"/>
        <v>0</v>
      </c>
      <c r="AS68" s="48">
        <f t="shared" si="170"/>
        <v>0</v>
      </c>
      <c r="AT68" s="48">
        <f t="shared" si="171"/>
        <v>0</v>
      </c>
      <c r="AU68" s="48">
        <f t="shared" si="172"/>
        <v>0</v>
      </c>
      <c r="AV68" s="48">
        <f t="shared" si="173"/>
        <v>0</v>
      </c>
      <c r="AW68" s="48">
        <f t="shared" si="174"/>
        <v>0</v>
      </c>
      <c r="AX68" s="48">
        <f t="shared" si="175"/>
        <v>0</v>
      </c>
      <c r="AY68" s="48">
        <f t="shared" si="176"/>
        <v>0</v>
      </c>
      <c r="AZ68" s="48">
        <f t="shared" si="177"/>
        <v>0</v>
      </c>
      <c r="BA68" s="48">
        <f t="shared" si="178"/>
        <v>0</v>
      </c>
      <c r="BB68" s="48">
        <f t="shared" si="179"/>
        <v>0</v>
      </c>
      <c r="BC68" s="48">
        <f t="shared" si="180"/>
        <v>0</v>
      </c>
      <c r="BD68" s="48">
        <f t="shared" si="181"/>
        <v>0</v>
      </c>
      <c r="BE68" s="48">
        <f t="shared" si="182"/>
        <v>0</v>
      </c>
      <c r="BF68" s="48">
        <f t="shared" si="183"/>
        <v>0</v>
      </c>
      <c r="BG68" s="48">
        <f t="shared" si="184"/>
        <v>0</v>
      </c>
      <c r="BH68" s="48">
        <f t="shared" si="185"/>
        <v>0</v>
      </c>
      <c r="BI68" s="48">
        <f t="shared" si="186"/>
        <v>0</v>
      </c>
      <c r="BJ68" s="48">
        <f t="shared" si="187"/>
        <v>0</v>
      </c>
      <c r="BK68" s="48">
        <f t="shared" si="188"/>
        <v>0</v>
      </c>
      <c r="BL68" s="48">
        <f t="shared" si="189"/>
        <v>0</v>
      </c>
      <c r="BM68" s="48">
        <f t="shared" si="190"/>
        <v>0</v>
      </c>
      <c r="BN68" s="48">
        <f t="shared" si="191"/>
        <v>0</v>
      </c>
      <c r="BO68" s="48">
        <f t="shared" si="192"/>
        <v>0</v>
      </c>
      <c r="BP68" s="48">
        <f t="shared" si="193"/>
        <v>0</v>
      </c>
      <c r="BQ68" s="48">
        <f t="shared" si="194"/>
        <v>0</v>
      </c>
      <c r="BR68" s="48">
        <f t="shared" si="195"/>
        <v>0</v>
      </c>
      <c r="BS68" s="48">
        <f t="shared" si="196"/>
        <v>0</v>
      </c>
      <c r="BT68" s="48">
        <f t="shared" si="197"/>
        <v>0</v>
      </c>
      <c r="BU68" s="48">
        <f t="shared" si="198"/>
        <v>0</v>
      </c>
      <c r="BV68" s="48">
        <f t="shared" si="199"/>
        <v>0</v>
      </c>
      <c r="BW68" s="48">
        <f t="shared" si="200"/>
        <v>0</v>
      </c>
      <c r="BX68" s="48">
        <f t="shared" si="201"/>
        <v>0</v>
      </c>
      <c r="BY68" s="48">
        <f t="shared" si="202"/>
        <v>0</v>
      </c>
      <c r="BZ68" s="48">
        <f t="shared" si="203"/>
        <v>0</v>
      </c>
      <c r="CA68" s="48">
        <f t="shared" si="204"/>
        <v>0</v>
      </c>
      <c r="CB68" s="48">
        <f t="shared" si="205"/>
        <v>0</v>
      </c>
      <c r="CC68" s="48">
        <f t="shared" si="206"/>
        <v>0</v>
      </c>
      <c r="CD68" s="48">
        <f t="shared" si="207"/>
        <v>0</v>
      </c>
      <c r="CE68" s="48">
        <f t="shared" si="208"/>
        <v>0</v>
      </c>
      <c r="CF68" s="48">
        <f t="shared" si="209"/>
        <v>0</v>
      </c>
      <c r="CG68" s="48">
        <f t="shared" si="210"/>
        <v>0</v>
      </c>
      <c r="CH68" s="48">
        <f t="shared" si="211"/>
        <v>0</v>
      </c>
      <c r="CI68" s="48">
        <f t="shared" si="212"/>
        <v>0</v>
      </c>
      <c r="CJ68" s="48">
        <f t="shared" si="213"/>
        <v>0</v>
      </c>
      <c r="CK68" s="48">
        <f t="shared" si="214"/>
        <v>0</v>
      </c>
      <c r="CL68" s="48">
        <f t="shared" si="215"/>
        <v>0</v>
      </c>
      <c r="CM68" s="48">
        <f t="shared" si="216"/>
        <v>0</v>
      </c>
      <c r="CN68" s="48">
        <f t="shared" si="217"/>
        <v>0</v>
      </c>
      <c r="CO68" s="48">
        <f t="shared" si="218"/>
        <v>0</v>
      </c>
      <c r="CP68" s="48">
        <f t="shared" si="219"/>
        <v>0</v>
      </c>
      <c r="CQ68" s="48">
        <f t="shared" si="220"/>
        <v>0</v>
      </c>
      <c r="CR68" s="48">
        <f t="shared" si="221"/>
        <v>0</v>
      </c>
      <c r="CS68" s="48">
        <f t="shared" si="222"/>
        <v>0</v>
      </c>
      <c r="CT68" s="48">
        <f t="shared" si="223"/>
        <v>0</v>
      </c>
      <c r="CU68" s="48">
        <f t="shared" si="224"/>
        <v>0</v>
      </c>
      <c r="CV68" s="48">
        <f t="shared" si="225"/>
        <v>0</v>
      </c>
      <c r="CW68" s="48">
        <f t="shared" si="226"/>
        <v>0</v>
      </c>
      <c r="CX68" s="48">
        <f t="shared" si="227"/>
        <v>0</v>
      </c>
      <c r="CY68" s="48">
        <f t="shared" si="228"/>
        <v>0</v>
      </c>
      <c r="CZ68" s="48">
        <f t="shared" si="229"/>
        <v>0</v>
      </c>
      <c r="DA68" s="48">
        <f t="shared" si="230"/>
        <v>0</v>
      </c>
      <c r="DB68" s="48">
        <f t="shared" si="231"/>
        <v>0</v>
      </c>
      <c r="DC68" s="48">
        <f t="shared" si="232"/>
        <v>0</v>
      </c>
      <c r="DD68" s="48">
        <f t="shared" si="233"/>
        <v>0</v>
      </c>
      <c r="DE68" s="48">
        <f t="shared" si="234"/>
        <v>0</v>
      </c>
      <c r="DF68" s="48">
        <f t="shared" si="235"/>
        <v>0</v>
      </c>
      <c r="DG68" s="48">
        <f t="shared" si="236"/>
        <v>0</v>
      </c>
      <c r="DH68" s="48">
        <f t="shared" si="237"/>
        <v>0</v>
      </c>
      <c r="DI68" s="48">
        <f t="shared" si="238"/>
        <v>0</v>
      </c>
      <c r="DJ68" s="48">
        <f t="shared" si="239"/>
        <v>0</v>
      </c>
      <c r="DK68" s="48">
        <f t="shared" si="240"/>
        <v>0</v>
      </c>
      <c r="DL68" s="48">
        <f t="shared" si="241"/>
        <v>0</v>
      </c>
      <c r="DM68" s="48">
        <f t="shared" si="242"/>
        <v>0</v>
      </c>
      <c r="DN68" s="48">
        <f t="shared" si="243"/>
        <v>0</v>
      </c>
      <c r="DO68" s="48">
        <f t="shared" si="244"/>
        <v>0</v>
      </c>
      <c r="DP68" s="48">
        <f t="shared" si="245"/>
        <v>0</v>
      </c>
      <c r="DQ68" s="48">
        <f t="shared" si="246"/>
        <v>0</v>
      </c>
      <c r="DR68" s="48">
        <f t="shared" si="247"/>
        <v>0</v>
      </c>
      <c r="DS68" s="48">
        <f t="shared" si="248"/>
        <v>0</v>
      </c>
      <c r="DT68" s="48">
        <f t="shared" si="249"/>
        <v>0</v>
      </c>
      <c r="DU68" s="48">
        <f t="shared" si="250"/>
        <v>0</v>
      </c>
      <c r="DV68" s="48">
        <f t="shared" si="251"/>
        <v>0</v>
      </c>
      <c r="DW68" s="48">
        <f t="shared" si="252"/>
        <v>0</v>
      </c>
      <c r="DX68" s="48">
        <f t="shared" si="253"/>
        <v>0</v>
      </c>
      <c r="DY68" s="48">
        <f t="shared" si="254"/>
        <v>0</v>
      </c>
      <c r="DZ68" s="48">
        <f t="shared" si="255"/>
        <v>0</v>
      </c>
      <c r="EA68" s="48">
        <f t="shared" si="256"/>
        <v>0</v>
      </c>
      <c r="EB68" s="48">
        <f t="shared" si="257"/>
        <v>0</v>
      </c>
      <c r="EC68" s="48">
        <f t="shared" si="258"/>
        <v>0</v>
      </c>
      <c r="ED68" s="48">
        <f t="shared" si="259"/>
        <v>0</v>
      </c>
      <c r="EE68" s="48">
        <f t="shared" si="260"/>
        <v>0</v>
      </c>
      <c r="EF68" s="48">
        <f t="shared" si="261"/>
        <v>0</v>
      </c>
      <c r="EG68" s="48">
        <f t="shared" si="262"/>
        <v>0</v>
      </c>
      <c r="EH68" s="48">
        <f t="shared" si="263"/>
        <v>0</v>
      </c>
      <c r="EI68" s="48">
        <f t="shared" si="264"/>
        <v>0</v>
      </c>
      <c r="EJ68" s="48">
        <f t="shared" si="265"/>
        <v>0</v>
      </c>
      <c r="EK68" s="48">
        <f t="shared" si="266"/>
        <v>0</v>
      </c>
      <c r="EL68" s="48">
        <f t="shared" si="267"/>
        <v>0</v>
      </c>
      <c r="EM68" s="48">
        <f t="shared" si="268"/>
        <v>0</v>
      </c>
      <c r="EN68" s="48">
        <f t="shared" si="269"/>
        <v>0</v>
      </c>
      <c r="EO68" s="48">
        <f t="shared" si="270"/>
        <v>0</v>
      </c>
      <c r="EP68" s="48">
        <f t="shared" si="271"/>
        <v>0</v>
      </c>
      <c r="EQ68" s="48">
        <f t="shared" si="272"/>
        <v>0</v>
      </c>
      <c r="ER68" s="48">
        <f t="shared" si="273"/>
        <v>0</v>
      </c>
      <c r="ES68" s="48">
        <f t="shared" si="274"/>
        <v>0</v>
      </c>
      <c r="ET68" s="48">
        <f t="shared" si="275"/>
        <v>0</v>
      </c>
      <c r="EU68" s="48">
        <f t="shared" si="276"/>
        <v>0</v>
      </c>
      <c r="EV68" s="48">
        <f t="shared" si="277"/>
        <v>0</v>
      </c>
      <c r="EW68" s="48">
        <f t="shared" si="278"/>
        <v>0</v>
      </c>
      <c r="EX68" s="48">
        <f t="shared" si="279"/>
        <v>0</v>
      </c>
      <c r="EY68" s="48">
        <f t="shared" si="280"/>
        <v>0</v>
      </c>
      <c r="EZ68" s="48">
        <f t="shared" si="281"/>
        <v>0</v>
      </c>
      <c r="FA68" s="48">
        <f t="shared" si="282"/>
        <v>0</v>
      </c>
      <c r="FB68" s="48">
        <f t="shared" si="283"/>
        <v>0</v>
      </c>
      <c r="FC68" s="48">
        <f t="shared" si="284"/>
        <v>0</v>
      </c>
      <c r="FD68" s="48">
        <f t="shared" si="285"/>
        <v>0</v>
      </c>
      <c r="FE68" s="48">
        <f t="shared" si="286"/>
        <v>0</v>
      </c>
      <c r="FF68" s="48">
        <f t="shared" si="287"/>
        <v>0</v>
      </c>
      <c r="FG68" s="48">
        <f t="shared" si="288"/>
        <v>0</v>
      </c>
      <c r="FH68" s="48">
        <f t="shared" si="289"/>
        <v>0</v>
      </c>
      <c r="FI68" s="48">
        <f t="shared" si="290"/>
        <v>0</v>
      </c>
      <c r="FJ68" s="48">
        <f t="shared" si="291"/>
        <v>0</v>
      </c>
      <c r="FK68" s="48">
        <f t="shared" si="292"/>
        <v>0</v>
      </c>
      <c r="FL68" s="48">
        <f t="shared" si="293"/>
        <v>0</v>
      </c>
      <c r="FM68" s="48">
        <f t="shared" si="294"/>
        <v>0</v>
      </c>
      <c r="FN68" s="48">
        <f t="shared" si="295"/>
        <v>0</v>
      </c>
      <c r="FO68" s="48">
        <f t="shared" si="296"/>
        <v>0</v>
      </c>
      <c r="FP68" s="48">
        <f t="shared" si="297"/>
        <v>0</v>
      </c>
      <c r="FQ68" s="48">
        <f t="shared" si="298"/>
        <v>0</v>
      </c>
      <c r="FR68" s="48">
        <f t="shared" si="299"/>
        <v>0</v>
      </c>
      <c r="FS68" s="48">
        <f t="shared" si="300"/>
        <v>0</v>
      </c>
      <c r="FT68" s="48">
        <f t="shared" si="301"/>
        <v>0</v>
      </c>
      <c r="FU68" s="48">
        <f t="shared" si="302"/>
        <v>0</v>
      </c>
      <c r="FV68" s="48">
        <f t="shared" si="303"/>
        <v>0</v>
      </c>
      <c r="FW68" s="48">
        <f t="shared" si="304"/>
        <v>0</v>
      </c>
      <c r="FX68" s="48">
        <f t="shared" si="305"/>
        <v>0</v>
      </c>
      <c r="FY68" s="48">
        <f t="shared" si="306"/>
        <v>0</v>
      </c>
      <c r="FZ68" s="48">
        <f t="shared" si="307"/>
        <v>0</v>
      </c>
      <c r="GA68" s="48">
        <f t="shared" si="308"/>
        <v>0</v>
      </c>
      <c r="GB68" s="48">
        <f t="shared" si="309"/>
        <v>0</v>
      </c>
      <c r="GC68" s="48">
        <f t="shared" si="310"/>
        <v>0</v>
      </c>
      <c r="GG68">
        <f t="shared" si="311"/>
        <v>0</v>
      </c>
    </row>
    <row r="69" spans="1:189" x14ac:dyDescent="0.25">
      <c r="A69" s="690"/>
      <c r="B69" s="690"/>
      <c r="C69" s="690"/>
      <c r="D69" s="690"/>
      <c r="E69" s="690"/>
      <c r="F69" s="690"/>
      <c r="G69" s="889"/>
      <c r="H69" s="690"/>
      <c r="I69" s="690"/>
      <c r="J69" s="690"/>
      <c r="K69" s="690"/>
      <c r="L69" s="690"/>
      <c r="M69" s="690"/>
      <c r="N69" s="507" t="str">
        <f t="shared" si="159"/>
        <v/>
      </c>
      <c r="O69" s="690"/>
      <c r="P69" s="507" t="str">
        <f t="shared" si="158"/>
        <v/>
      </c>
      <c r="Q69" s="690"/>
      <c r="R69" s="690"/>
      <c r="S69" s="690"/>
      <c r="T69" s="690"/>
      <c r="U69">
        <f t="shared" si="312"/>
        <v>0</v>
      </c>
      <c r="V69">
        <f t="shared" si="313"/>
        <v>0</v>
      </c>
      <c r="X69">
        <f t="shared" si="314"/>
        <v>0</v>
      </c>
      <c r="Y69">
        <f t="shared" si="315"/>
        <v>0</v>
      </c>
      <c r="Z69">
        <f t="shared" si="316"/>
        <v>0</v>
      </c>
      <c r="AA69">
        <f t="shared" si="317"/>
        <v>0</v>
      </c>
      <c r="AB69" s="25"/>
      <c r="AC69" s="25"/>
      <c r="AD69" s="25"/>
      <c r="AF69" s="48" t="s">
        <v>724</v>
      </c>
      <c r="AG69" s="689"/>
      <c r="AH69" s="689"/>
      <c r="AI69" s="48">
        <f t="shared" si="160"/>
        <v>0</v>
      </c>
      <c r="AJ69" s="48">
        <f t="shared" si="161"/>
        <v>0</v>
      </c>
      <c r="AK69" s="48">
        <f t="shared" si="162"/>
        <v>0</v>
      </c>
      <c r="AL69" s="48">
        <f t="shared" si="163"/>
        <v>0</v>
      </c>
      <c r="AM69" s="48">
        <f t="shared" si="164"/>
        <v>0</v>
      </c>
      <c r="AN69" s="48">
        <f t="shared" si="165"/>
        <v>0</v>
      </c>
      <c r="AO69" s="48">
        <f t="shared" si="166"/>
        <v>0</v>
      </c>
      <c r="AP69" s="48">
        <f t="shared" si="167"/>
        <v>0</v>
      </c>
      <c r="AQ69" s="48">
        <f t="shared" si="168"/>
        <v>0</v>
      </c>
      <c r="AR69" s="48">
        <f t="shared" si="169"/>
        <v>0</v>
      </c>
      <c r="AS69" s="48">
        <f t="shared" si="170"/>
        <v>0</v>
      </c>
      <c r="AT69" s="48">
        <f t="shared" si="171"/>
        <v>0</v>
      </c>
      <c r="AU69" s="48">
        <f t="shared" si="172"/>
        <v>0</v>
      </c>
      <c r="AV69" s="48">
        <f t="shared" si="173"/>
        <v>0</v>
      </c>
      <c r="AW69" s="48">
        <f t="shared" si="174"/>
        <v>0</v>
      </c>
      <c r="AX69" s="48">
        <f t="shared" si="175"/>
        <v>0</v>
      </c>
      <c r="AY69" s="48">
        <f t="shared" si="176"/>
        <v>0</v>
      </c>
      <c r="AZ69" s="48">
        <f t="shared" si="177"/>
        <v>0</v>
      </c>
      <c r="BA69" s="48">
        <f t="shared" si="178"/>
        <v>0</v>
      </c>
      <c r="BB69" s="48">
        <f t="shared" si="179"/>
        <v>0</v>
      </c>
      <c r="BC69" s="48">
        <f t="shared" si="180"/>
        <v>0</v>
      </c>
      <c r="BD69" s="48">
        <f t="shared" si="181"/>
        <v>0</v>
      </c>
      <c r="BE69" s="48">
        <f t="shared" si="182"/>
        <v>0</v>
      </c>
      <c r="BF69" s="48">
        <f t="shared" si="183"/>
        <v>0</v>
      </c>
      <c r="BG69" s="48">
        <f t="shared" si="184"/>
        <v>0</v>
      </c>
      <c r="BH69" s="48">
        <f t="shared" si="185"/>
        <v>0</v>
      </c>
      <c r="BI69" s="48">
        <f t="shared" si="186"/>
        <v>0</v>
      </c>
      <c r="BJ69" s="48">
        <f t="shared" si="187"/>
        <v>0</v>
      </c>
      <c r="BK69" s="48">
        <f t="shared" si="188"/>
        <v>0</v>
      </c>
      <c r="BL69" s="48">
        <f t="shared" si="189"/>
        <v>0</v>
      </c>
      <c r="BM69" s="48">
        <f t="shared" si="190"/>
        <v>0</v>
      </c>
      <c r="BN69" s="48">
        <f t="shared" si="191"/>
        <v>0</v>
      </c>
      <c r="BO69" s="48">
        <f t="shared" si="192"/>
        <v>0</v>
      </c>
      <c r="BP69" s="48">
        <f t="shared" si="193"/>
        <v>0</v>
      </c>
      <c r="BQ69" s="48">
        <f t="shared" si="194"/>
        <v>0</v>
      </c>
      <c r="BR69" s="48">
        <f t="shared" si="195"/>
        <v>0</v>
      </c>
      <c r="BS69" s="48">
        <f t="shared" si="196"/>
        <v>0</v>
      </c>
      <c r="BT69" s="48">
        <f t="shared" si="197"/>
        <v>0</v>
      </c>
      <c r="BU69" s="48">
        <f t="shared" si="198"/>
        <v>0</v>
      </c>
      <c r="BV69" s="48">
        <f t="shared" si="199"/>
        <v>0</v>
      </c>
      <c r="BW69" s="48">
        <f t="shared" si="200"/>
        <v>0</v>
      </c>
      <c r="BX69" s="48">
        <f t="shared" si="201"/>
        <v>0</v>
      </c>
      <c r="BY69" s="48">
        <f t="shared" si="202"/>
        <v>0</v>
      </c>
      <c r="BZ69" s="48">
        <f t="shared" si="203"/>
        <v>0</v>
      </c>
      <c r="CA69" s="48">
        <f t="shared" si="204"/>
        <v>0</v>
      </c>
      <c r="CB69" s="48">
        <f t="shared" si="205"/>
        <v>0</v>
      </c>
      <c r="CC69" s="48">
        <f t="shared" si="206"/>
        <v>0</v>
      </c>
      <c r="CD69" s="48">
        <f t="shared" si="207"/>
        <v>0</v>
      </c>
      <c r="CE69" s="48">
        <f t="shared" si="208"/>
        <v>0</v>
      </c>
      <c r="CF69" s="48">
        <f t="shared" si="209"/>
        <v>0</v>
      </c>
      <c r="CG69" s="48">
        <f t="shared" si="210"/>
        <v>0</v>
      </c>
      <c r="CH69" s="48">
        <f t="shared" si="211"/>
        <v>0</v>
      </c>
      <c r="CI69" s="48">
        <f t="shared" si="212"/>
        <v>0</v>
      </c>
      <c r="CJ69" s="48">
        <f t="shared" si="213"/>
        <v>0</v>
      </c>
      <c r="CK69" s="48">
        <f t="shared" si="214"/>
        <v>0</v>
      </c>
      <c r="CL69" s="48">
        <f t="shared" si="215"/>
        <v>0</v>
      </c>
      <c r="CM69" s="48">
        <f t="shared" si="216"/>
        <v>0</v>
      </c>
      <c r="CN69" s="48">
        <f t="shared" si="217"/>
        <v>0</v>
      </c>
      <c r="CO69" s="48">
        <f t="shared" si="218"/>
        <v>0</v>
      </c>
      <c r="CP69" s="48">
        <f t="shared" si="219"/>
        <v>0</v>
      </c>
      <c r="CQ69" s="48">
        <f t="shared" si="220"/>
        <v>0</v>
      </c>
      <c r="CR69" s="48">
        <f t="shared" si="221"/>
        <v>0</v>
      </c>
      <c r="CS69" s="48">
        <f t="shared" si="222"/>
        <v>0</v>
      </c>
      <c r="CT69" s="48">
        <f t="shared" si="223"/>
        <v>0</v>
      </c>
      <c r="CU69" s="48">
        <f t="shared" si="224"/>
        <v>0</v>
      </c>
      <c r="CV69" s="48">
        <f t="shared" si="225"/>
        <v>0</v>
      </c>
      <c r="CW69" s="48">
        <f t="shared" si="226"/>
        <v>0</v>
      </c>
      <c r="CX69" s="48">
        <f t="shared" si="227"/>
        <v>0</v>
      </c>
      <c r="CY69" s="48">
        <f t="shared" si="228"/>
        <v>0</v>
      </c>
      <c r="CZ69" s="48">
        <f t="shared" si="229"/>
        <v>0</v>
      </c>
      <c r="DA69" s="48">
        <f t="shared" si="230"/>
        <v>0</v>
      </c>
      <c r="DB69" s="48">
        <f t="shared" si="231"/>
        <v>0</v>
      </c>
      <c r="DC69" s="48">
        <f t="shared" si="232"/>
        <v>0</v>
      </c>
      <c r="DD69" s="48">
        <f t="shared" si="233"/>
        <v>0</v>
      </c>
      <c r="DE69" s="48">
        <f t="shared" si="234"/>
        <v>0</v>
      </c>
      <c r="DF69" s="48">
        <f t="shared" si="235"/>
        <v>0</v>
      </c>
      <c r="DG69" s="48">
        <f t="shared" si="236"/>
        <v>0</v>
      </c>
      <c r="DH69" s="48">
        <f t="shared" si="237"/>
        <v>0</v>
      </c>
      <c r="DI69" s="48">
        <f t="shared" si="238"/>
        <v>0</v>
      </c>
      <c r="DJ69" s="48">
        <f t="shared" si="239"/>
        <v>0</v>
      </c>
      <c r="DK69" s="48">
        <f t="shared" si="240"/>
        <v>0</v>
      </c>
      <c r="DL69" s="48">
        <f t="shared" si="241"/>
        <v>0</v>
      </c>
      <c r="DM69" s="48">
        <f t="shared" si="242"/>
        <v>0</v>
      </c>
      <c r="DN69" s="48">
        <f t="shared" si="243"/>
        <v>0</v>
      </c>
      <c r="DO69" s="48">
        <f t="shared" si="244"/>
        <v>0</v>
      </c>
      <c r="DP69" s="48">
        <f t="shared" si="245"/>
        <v>0</v>
      </c>
      <c r="DQ69" s="48">
        <f t="shared" si="246"/>
        <v>0</v>
      </c>
      <c r="DR69" s="48">
        <f t="shared" si="247"/>
        <v>0</v>
      </c>
      <c r="DS69" s="48">
        <f t="shared" si="248"/>
        <v>0</v>
      </c>
      <c r="DT69" s="48">
        <f t="shared" si="249"/>
        <v>0</v>
      </c>
      <c r="DU69" s="48">
        <f t="shared" si="250"/>
        <v>0</v>
      </c>
      <c r="DV69" s="48">
        <f t="shared" si="251"/>
        <v>0</v>
      </c>
      <c r="DW69" s="48">
        <f t="shared" si="252"/>
        <v>0</v>
      </c>
      <c r="DX69" s="48">
        <f t="shared" si="253"/>
        <v>0</v>
      </c>
      <c r="DY69" s="48">
        <f t="shared" si="254"/>
        <v>0</v>
      </c>
      <c r="DZ69" s="48">
        <f t="shared" si="255"/>
        <v>0</v>
      </c>
      <c r="EA69" s="48">
        <f t="shared" si="256"/>
        <v>0</v>
      </c>
      <c r="EB69" s="48">
        <f t="shared" si="257"/>
        <v>0</v>
      </c>
      <c r="EC69" s="48">
        <f t="shared" si="258"/>
        <v>0</v>
      </c>
      <c r="ED69" s="48">
        <f t="shared" si="259"/>
        <v>0</v>
      </c>
      <c r="EE69" s="48">
        <f t="shared" si="260"/>
        <v>0</v>
      </c>
      <c r="EF69" s="48">
        <f t="shared" si="261"/>
        <v>0</v>
      </c>
      <c r="EG69" s="48">
        <f t="shared" si="262"/>
        <v>0</v>
      </c>
      <c r="EH69" s="48">
        <f t="shared" si="263"/>
        <v>0</v>
      </c>
      <c r="EI69" s="48">
        <f t="shared" si="264"/>
        <v>0</v>
      </c>
      <c r="EJ69" s="48">
        <f t="shared" si="265"/>
        <v>0</v>
      </c>
      <c r="EK69" s="48">
        <f t="shared" si="266"/>
        <v>0</v>
      </c>
      <c r="EL69" s="48">
        <f t="shared" si="267"/>
        <v>0</v>
      </c>
      <c r="EM69" s="48">
        <f t="shared" si="268"/>
        <v>0</v>
      </c>
      <c r="EN69" s="48">
        <f t="shared" si="269"/>
        <v>0</v>
      </c>
      <c r="EO69" s="48">
        <f t="shared" si="270"/>
        <v>0</v>
      </c>
      <c r="EP69" s="48">
        <f t="shared" si="271"/>
        <v>0</v>
      </c>
      <c r="EQ69" s="48">
        <f t="shared" si="272"/>
        <v>0</v>
      </c>
      <c r="ER69" s="48">
        <f t="shared" si="273"/>
        <v>0</v>
      </c>
      <c r="ES69" s="48">
        <f t="shared" si="274"/>
        <v>0</v>
      </c>
      <c r="ET69" s="48">
        <f t="shared" si="275"/>
        <v>0</v>
      </c>
      <c r="EU69" s="48">
        <f t="shared" si="276"/>
        <v>0</v>
      </c>
      <c r="EV69" s="48">
        <f t="shared" si="277"/>
        <v>0</v>
      </c>
      <c r="EW69" s="48">
        <f t="shared" si="278"/>
        <v>0</v>
      </c>
      <c r="EX69" s="48">
        <f t="shared" si="279"/>
        <v>0</v>
      </c>
      <c r="EY69" s="48">
        <f t="shared" si="280"/>
        <v>0</v>
      </c>
      <c r="EZ69" s="48">
        <f t="shared" si="281"/>
        <v>0</v>
      </c>
      <c r="FA69" s="48">
        <f t="shared" si="282"/>
        <v>0</v>
      </c>
      <c r="FB69" s="48">
        <f t="shared" si="283"/>
        <v>0</v>
      </c>
      <c r="FC69" s="48">
        <f t="shared" si="284"/>
        <v>0</v>
      </c>
      <c r="FD69" s="48">
        <f t="shared" si="285"/>
        <v>0</v>
      </c>
      <c r="FE69" s="48">
        <f t="shared" si="286"/>
        <v>0</v>
      </c>
      <c r="FF69" s="48">
        <f t="shared" si="287"/>
        <v>0</v>
      </c>
      <c r="FG69" s="48">
        <f t="shared" si="288"/>
        <v>0</v>
      </c>
      <c r="FH69" s="48">
        <f t="shared" si="289"/>
        <v>0</v>
      </c>
      <c r="FI69" s="48">
        <f t="shared" si="290"/>
        <v>0</v>
      </c>
      <c r="FJ69" s="48">
        <f t="shared" si="291"/>
        <v>0</v>
      </c>
      <c r="FK69" s="48">
        <f t="shared" si="292"/>
        <v>0</v>
      </c>
      <c r="FL69" s="48">
        <f t="shared" si="293"/>
        <v>0</v>
      </c>
      <c r="FM69" s="48">
        <f t="shared" si="294"/>
        <v>0</v>
      </c>
      <c r="FN69" s="48">
        <f t="shared" si="295"/>
        <v>0</v>
      </c>
      <c r="FO69" s="48">
        <f t="shared" si="296"/>
        <v>0</v>
      </c>
      <c r="FP69" s="48">
        <f t="shared" si="297"/>
        <v>0</v>
      </c>
      <c r="FQ69" s="48">
        <f t="shared" si="298"/>
        <v>0</v>
      </c>
      <c r="FR69" s="48">
        <f t="shared" si="299"/>
        <v>0</v>
      </c>
      <c r="FS69" s="48">
        <f t="shared" si="300"/>
        <v>0</v>
      </c>
      <c r="FT69" s="48">
        <f t="shared" si="301"/>
        <v>0</v>
      </c>
      <c r="FU69" s="48">
        <f t="shared" si="302"/>
        <v>0</v>
      </c>
      <c r="FV69" s="48">
        <f t="shared" si="303"/>
        <v>0</v>
      </c>
      <c r="FW69" s="48">
        <f t="shared" si="304"/>
        <v>0</v>
      </c>
      <c r="FX69" s="48">
        <f t="shared" si="305"/>
        <v>0</v>
      </c>
      <c r="FY69" s="48">
        <f t="shared" si="306"/>
        <v>0</v>
      </c>
      <c r="FZ69" s="48">
        <f t="shared" si="307"/>
        <v>0</v>
      </c>
      <c r="GA69" s="48">
        <f t="shared" si="308"/>
        <v>0</v>
      </c>
      <c r="GB69" s="48">
        <f t="shared" si="309"/>
        <v>0</v>
      </c>
      <c r="GC69" s="48">
        <f t="shared" si="310"/>
        <v>0</v>
      </c>
      <c r="GG69">
        <f t="shared" si="311"/>
        <v>0</v>
      </c>
    </row>
    <row r="70" spans="1:189" x14ac:dyDescent="0.25">
      <c r="A70" s="690"/>
      <c r="B70" s="690"/>
      <c r="C70" s="690"/>
      <c r="D70" s="690"/>
      <c r="E70" s="690"/>
      <c r="F70" s="690"/>
      <c r="G70" s="889"/>
      <c r="H70" s="690"/>
      <c r="I70" s="690"/>
      <c r="J70" s="690"/>
      <c r="K70" s="690"/>
      <c r="L70" s="690"/>
      <c r="M70" s="690"/>
      <c r="N70" s="507" t="str">
        <f t="shared" si="159"/>
        <v/>
      </c>
      <c r="O70" s="690"/>
      <c r="P70" s="507" t="str">
        <f t="shared" si="158"/>
        <v/>
      </c>
      <c r="Q70" s="690"/>
      <c r="R70" s="690"/>
      <c r="S70" s="690"/>
      <c r="T70" s="690"/>
      <c r="U70">
        <f t="shared" si="312"/>
        <v>0</v>
      </c>
      <c r="V70">
        <f t="shared" si="313"/>
        <v>0</v>
      </c>
      <c r="X70">
        <f t="shared" si="314"/>
        <v>0</v>
      </c>
      <c r="Y70">
        <f t="shared" si="315"/>
        <v>0</v>
      </c>
      <c r="Z70">
        <f t="shared" si="316"/>
        <v>0</v>
      </c>
      <c r="AA70">
        <f t="shared" si="317"/>
        <v>0</v>
      </c>
      <c r="AB70" s="25"/>
      <c r="AC70" s="25"/>
      <c r="AD70" s="25"/>
      <c r="AF70" s="48" t="s">
        <v>725</v>
      </c>
      <c r="AG70" s="689"/>
      <c r="AH70" s="689"/>
      <c r="AI70" s="48">
        <f t="shared" si="160"/>
        <v>0</v>
      </c>
      <c r="AJ70" s="48">
        <f t="shared" si="161"/>
        <v>0</v>
      </c>
      <c r="AK70" s="48">
        <f t="shared" si="162"/>
        <v>0</v>
      </c>
      <c r="AL70" s="48">
        <f t="shared" si="163"/>
        <v>0</v>
      </c>
      <c r="AM70" s="48">
        <f t="shared" si="164"/>
        <v>0</v>
      </c>
      <c r="AN70" s="48">
        <f t="shared" si="165"/>
        <v>0</v>
      </c>
      <c r="AO70" s="48">
        <f t="shared" si="166"/>
        <v>0</v>
      </c>
      <c r="AP70" s="48">
        <f t="shared" si="167"/>
        <v>0</v>
      </c>
      <c r="AQ70" s="48">
        <f t="shared" si="168"/>
        <v>0</v>
      </c>
      <c r="AR70" s="48">
        <f t="shared" si="169"/>
        <v>0</v>
      </c>
      <c r="AS70" s="48">
        <f t="shared" si="170"/>
        <v>0</v>
      </c>
      <c r="AT70" s="48">
        <f t="shared" si="171"/>
        <v>0</v>
      </c>
      <c r="AU70" s="48">
        <f t="shared" si="172"/>
        <v>0</v>
      </c>
      <c r="AV70" s="48">
        <f t="shared" si="173"/>
        <v>0</v>
      </c>
      <c r="AW70" s="48">
        <f t="shared" si="174"/>
        <v>0</v>
      </c>
      <c r="AX70" s="48">
        <f t="shared" si="175"/>
        <v>0</v>
      </c>
      <c r="AY70" s="48">
        <f t="shared" si="176"/>
        <v>0</v>
      </c>
      <c r="AZ70" s="48">
        <f t="shared" si="177"/>
        <v>0</v>
      </c>
      <c r="BA70" s="48">
        <f t="shared" si="178"/>
        <v>0</v>
      </c>
      <c r="BB70" s="48">
        <f t="shared" si="179"/>
        <v>0</v>
      </c>
      <c r="BC70" s="48">
        <f t="shared" si="180"/>
        <v>0</v>
      </c>
      <c r="BD70" s="48">
        <f t="shared" si="181"/>
        <v>0</v>
      </c>
      <c r="BE70" s="48">
        <f t="shared" si="182"/>
        <v>0</v>
      </c>
      <c r="BF70" s="48">
        <f t="shared" si="183"/>
        <v>0</v>
      </c>
      <c r="BG70" s="48">
        <f t="shared" si="184"/>
        <v>0</v>
      </c>
      <c r="BH70" s="48">
        <f t="shared" si="185"/>
        <v>0</v>
      </c>
      <c r="BI70" s="48">
        <f t="shared" si="186"/>
        <v>0</v>
      </c>
      <c r="BJ70" s="48">
        <f t="shared" si="187"/>
        <v>0</v>
      </c>
      <c r="BK70" s="48">
        <f t="shared" si="188"/>
        <v>0</v>
      </c>
      <c r="BL70" s="48">
        <f t="shared" si="189"/>
        <v>0</v>
      </c>
      <c r="BM70" s="48">
        <f t="shared" si="190"/>
        <v>0</v>
      </c>
      <c r="BN70" s="48">
        <f t="shared" si="191"/>
        <v>0</v>
      </c>
      <c r="BO70" s="48">
        <f t="shared" si="192"/>
        <v>0</v>
      </c>
      <c r="BP70" s="48">
        <f t="shared" si="193"/>
        <v>0</v>
      </c>
      <c r="BQ70" s="48">
        <f t="shared" si="194"/>
        <v>0</v>
      </c>
      <c r="BR70" s="48">
        <f t="shared" si="195"/>
        <v>0</v>
      </c>
      <c r="BS70" s="48">
        <f t="shared" si="196"/>
        <v>0</v>
      </c>
      <c r="BT70" s="48">
        <f t="shared" si="197"/>
        <v>0</v>
      </c>
      <c r="BU70" s="48">
        <f t="shared" si="198"/>
        <v>0</v>
      </c>
      <c r="BV70" s="48">
        <f t="shared" si="199"/>
        <v>0</v>
      </c>
      <c r="BW70" s="48">
        <f t="shared" si="200"/>
        <v>0</v>
      </c>
      <c r="BX70" s="48">
        <f t="shared" si="201"/>
        <v>0</v>
      </c>
      <c r="BY70" s="48">
        <f t="shared" si="202"/>
        <v>0</v>
      </c>
      <c r="BZ70" s="48">
        <f t="shared" si="203"/>
        <v>0</v>
      </c>
      <c r="CA70" s="48">
        <f t="shared" si="204"/>
        <v>0</v>
      </c>
      <c r="CB70" s="48">
        <f t="shared" si="205"/>
        <v>0</v>
      </c>
      <c r="CC70" s="48">
        <f t="shared" si="206"/>
        <v>0</v>
      </c>
      <c r="CD70" s="48">
        <f t="shared" si="207"/>
        <v>0</v>
      </c>
      <c r="CE70" s="48">
        <f t="shared" si="208"/>
        <v>0</v>
      </c>
      <c r="CF70" s="48">
        <f t="shared" si="209"/>
        <v>0</v>
      </c>
      <c r="CG70" s="48">
        <f t="shared" si="210"/>
        <v>0</v>
      </c>
      <c r="CH70" s="48">
        <f t="shared" si="211"/>
        <v>0</v>
      </c>
      <c r="CI70" s="48">
        <f t="shared" si="212"/>
        <v>0</v>
      </c>
      <c r="CJ70" s="48">
        <f t="shared" si="213"/>
        <v>0</v>
      </c>
      <c r="CK70" s="48">
        <f t="shared" si="214"/>
        <v>0</v>
      </c>
      <c r="CL70" s="48">
        <f t="shared" si="215"/>
        <v>0</v>
      </c>
      <c r="CM70" s="48">
        <f t="shared" si="216"/>
        <v>0</v>
      </c>
      <c r="CN70" s="48">
        <f t="shared" si="217"/>
        <v>0</v>
      </c>
      <c r="CO70" s="48">
        <f t="shared" si="218"/>
        <v>0</v>
      </c>
      <c r="CP70" s="48">
        <f t="shared" si="219"/>
        <v>0</v>
      </c>
      <c r="CQ70" s="48">
        <f t="shared" si="220"/>
        <v>0</v>
      </c>
      <c r="CR70" s="48">
        <f t="shared" si="221"/>
        <v>0</v>
      </c>
      <c r="CS70" s="48">
        <f t="shared" si="222"/>
        <v>0</v>
      </c>
      <c r="CT70" s="48">
        <f t="shared" si="223"/>
        <v>0</v>
      </c>
      <c r="CU70" s="48">
        <f t="shared" si="224"/>
        <v>0</v>
      </c>
      <c r="CV70" s="48">
        <f t="shared" si="225"/>
        <v>0</v>
      </c>
      <c r="CW70" s="48">
        <f t="shared" si="226"/>
        <v>0</v>
      </c>
      <c r="CX70" s="48">
        <f t="shared" si="227"/>
        <v>0</v>
      </c>
      <c r="CY70" s="48">
        <f t="shared" si="228"/>
        <v>0</v>
      </c>
      <c r="CZ70" s="48">
        <f t="shared" si="229"/>
        <v>0</v>
      </c>
      <c r="DA70" s="48">
        <f t="shared" si="230"/>
        <v>0</v>
      </c>
      <c r="DB70" s="48">
        <f t="shared" si="231"/>
        <v>0</v>
      </c>
      <c r="DC70" s="48">
        <f t="shared" si="232"/>
        <v>0</v>
      </c>
      <c r="DD70" s="48">
        <f t="shared" si="233"/>
        <v>0</v>
      </c>
      <c r="DE70" s="48">
        <f t="shared" si="234"/>
        <v>0</v>
      </c>
      <c r="DF70" s="48">
        <f t="shared" si="235"/>
        <v>0</v>
      </c>
      <c r="DG70" s="48">
        <f t="shared" si="236"/>
        <v>0</v>
      </c>
      <c r="DH70" s="48">
        <f t="shared" si="237"/>
        <v>0</v>
      </c>
      <c r="DI70" s="48">
        <f t="shared" si="238"/>
        <v>0</v>
      </c>
      <c r="DJ70" s="48">
        <f t="shared" si="239"/>
        <v>0</v>
      </c>
      <c r="DK70" s="48">
        <f t="shared" si="240"/>
        <v>0</v>
      </c>
      <c r="DL70" s="48">
        <f t="shared" si="241"/>
        <v>0</v>
      </c>
      <c r="DM70" s="48">
        <f t="shared" si="242"/>
        <v>0</v>
      </c>
      <c r="DN70" s="48">
        <f t="shared" si="243"/>
        <v>0</v>
      </c>
      <c r="DO70" s="48">
        <f t="shared" si="244"/>
        <v>0</v>
      </c>
      <c r="DP70" s="48">
        <f t="shared" si="245"/>
        <v>0</v>
      </c>
      <c r="DQ70" s="48">
        <f t="shared" si="246"/>
        <v>0</v>
      </c>
      <c r="DR70" s="48">
        <f t="shared" si="247"/>
        <v>0</v>
      </c>
      <c r="DS70" s="48">
        <f t="shared" si="248"/>
        <v>0</v>
      </c>
      <c r="DT70" s="48">
        <f t="shared" si="249"/>
        <v>0</v>
      </c>
      <c r="DU70" s="48">
        <f t="shared" si="250"/>
        <v>0</v>
      </c>
      <c r="DV70" s="48">
        <f t="shared" si="251"/>
        <v>0</v>
      </c>
      <c r="DW70" s="48">
        <f t="shared" si="252"/>
        <v>0</v>
      </c>
      <c r="DX70" s="48">
        <f t="shared" si="253"/>
        <v>0</v>
      </c>
      <c r="DY70" s="48">
        <f t="shared" si="254"/>
        <v>0</v>
      </c>
      <c r="DZ70" s="48">
        <f t="shared" si="255"/>
        <v>0</v>
      </c>
      <c r="EA70" s="48">
        <f t="shared" si="256"/>
        <v>0</v>
      </c>
      <c r="EB70" s="48">
        <f t="shared" si="257"/>
        <v>0</v>
      </c>
      <c r="EC70" s="48">
        <f t="shared" si="258"/>
        <v>0</v>
      </c>
      <c r="ED70" s="48">
        <f t="shared" si="259"/>
        <v>0</v>
      </c>
      <c r="EE70" s="48">
        <f t="shared" si="260"/>
        <v>0</v>
      </c>
      <c r="EF70" s="48">
        <f t="shared" si="261"/>
        <v>0</v>
      </c>
      <c r="EG70" s="48">
        <f t="shared" si="262"/>
        <v>0</v>
      </c>
      <c r="EH70" s="48">
        <f t="shared" si="263"/>
        <v>0</v>
      </c>
      <c r="EI70" s="48">
        <f t="shared" si="264"/>
        <v>0</v>
      </c>
      <c r="EJ70" s="48">
        <f t="shared" si="265"/>
        <v>0</v>
      </c>
      <c r="EK70" s="48">
        <f t="shared" si="266"/>
        <v>0</v>
      </c>
      <c r="EL70" s="48">
        <f t="shared" si="267"/>
        <v>0</v>
      </c>
      <c r="EM70" s="48">
        <f t="shared" si="268"/>
        <v>0</v>
      </c>
      <c r="EN70" s="48">
        <f t="shared" si="269"/>
        <v>0</v>
      </c>
      <c r="EO70" s="48">
        <f t="shared" si="270"/>
        <v>0</v>
      </c>
      <c r="EP70" s="48">
        <f t="shared" si="271"/>
        <v>0</v>
      </c>
      <c r="EQ70" s="48">
        <f t="shared" si="272"/>
        <v>0</v>
      </c>
      <c r="ER70" s="48">
        <f t="shared" si="273"/>
        <v>0</v>
      </c>
      <c r="ES70" s="48">
        <f t="shared" si="274"/>
        <v>0</v>
      </c>
      <c r="ET70" s="48">
        <f t="shared" si="275"/>
        <v>0</v>
      </c>
      <c r="EU70" s="48">
        <f t="shared" si="276"/>
        <v>0</v>
      </c>
      <c r="EV70" s="48">
        <f t="shared" si="277"/>
        <v>0</v>
      </c>
      <c r="EW70" s="48">
        <f t="shared" si="278"/>
        <v>0</v>
      </c>
      <c r="EX70" s="48">
        <f t="shared" si="279"/>
        <v>0</v>
      </c>
      <c r="EY70" s="48">
        <f t="shared" si="280"/>
        <v>0</v>
      </c>
      <c r="EZ70" s="48">
        <f t="shared" si="281"/>
        <v>0</v>
      </c>
      <c r="FA70" s="48">
        <f t="shared" si="282"/>
        <v>0</v>
      </c>
      <c r="FB70" s="48">
        <f t="shared" si="283"/>
        <v>0</v>
      </c>
      <c r="FC70" s="48">
        <f t="shared" si="284"/>
        <v>0</v>
      </c>
      <c r="FD70" s="48">
        <f t="shared" si="285"/>
        <v>0</v>
      </c>
      <c r="FE70" s="48">
        <f t="shared" si="286"/>
        <v>0</v>
      </c>
      <c r="FF70" s="48">
        <f t="shared" si="287"/>
        <v>0</v>
      </c>
      <c r="FG70" s="48">
        <f t="shared" si="288"/>
        <v>0</v>
      </c>
      <c r="FH70" s="48">
        <f t="shared" si="289"/>
        <v>0</v>
      </c>
      <c r="FI70" s="48">
        <f t="shared" si="290"/>
        <v>0</v>
      </c>
      <c r="FJ70" s="48">
        <f t="shared" si="291"/>
        <v>0</v>
      </c>
      <c r="FK70" s="48">
        <f t="shared" si="292"/>
        <v>0</v>
      </c>
      <c r="FL70" s="48">
        <f t="shared" si="293"/>
        <v>0</v>
      </c>
      <c r="FM70" s="48">
        <f t="shared" si="294"/>
        <v>0</v>
      </c>
      <c r="FN70" s="48">
        <f t="shared" si="295"/>
        <v>0</v>
      </c>
      <c r="FO70" s="48">
        <f t="shared" si="296"/>
        <v>0</v>
      </c>
      <c r="FP70" s="48">
        <f t="shared" si="297"/>
        <v>0</v>
      </c>
      <c r="FQ70" s="48">
        <f t="shared" si="298"/>
        <v>0</v>
      </c>
      <c r="FR70" s="48">
        <f t="shared" si="299"/>
        <v>0</v>
      </c>
      <c r="FS70" s="48">
        <f t="shared" si="300"/>
        <v>0</v>
      </c>
      <c r="FT70" s="48">
        <f t="shared" si="301"/>
        <v>0</v>
      </c>
      <c r="FU70" s="48">
        <f t="shared" si="302"/>
        <v>0</v>
      </c>
      <c r="FV70" s="48">
        <f t="shared" si="303"/>
        <v>0</v>
      </c>
      <c r="FW70" s="48">
        <f t="shared" si="304"/>
        <v>0</v>
      </c>
      <c r="FX70" s="48">
        <f t="shared" si="305"/>
        <v>0</v>
      </c>
      <c r="FY70" s="48">
        <f t="shared" si="306"/>
        <v>0</v>
      </c>
      <c r="FZ70" s="48">
        <f t="shared" si="307"/>
        <v>0</v>
      </c>
      <c r="GA70" s="48">
        <f t="shared" si="308"/>
        <v>0</v>
      </c>
      <c r="GB70" s="48">
        <f t="shared" si="309"/>
        <v>0</v>
      </c>
      <c r="GC70" s="48">
        <f t="shared" si="310"/>
        <v>0</v>
      </c>
      <c r="GG70">
        <f t="shared" si="311"/>
        <v>0</v>
      </c>
    </row>
    <row r="71" spans="1:189" x14ac:dyDescent="0.25">
      <c r="A71" s="690"/>
      <c r="B71" s="690"/>
      <c r="C71" s="690"/>
      <c r="D71" s="690"/>
      <c r="E71" s="690"/>
      <c r="F71" s="690"/>
      <c r="G71" s="889"/>
      <c r="H71" s="690"/>
      <c r="I71" s="690"/>
      <c r="J71" s="690"/>
      <c r="K71" s="690"/>
      <c r="L71" s="690"/>
      <c r="M71" s="690"/>
      <c r="N71" s="507" t="str">
        <f t="shared" si="159"/>
        <v/>
      </c>
      <c r="O71" s="690"/>
      <c r="P71" s="507" t="str">
        <f t="shared" si="158"/>
        <v/>
      </c>
      <c r="Q71" s="690"/>
      <c r="R71" s="690"/>
      <c r="S71" s="690"/>
      <c r="T71" s="690"/>
      <c r="U71">
        <f t="shared" si="312"/>
        <v>0</v>
      </c>
      <c r="V71">
        <f t="shared" si="313"/>
        <v>0</v>
      </c>
      <c r="X71">
        <f t="shared" si="314"/>
        <v>0</v>
      </c>
      <c r="Y71">
        <f t="shared" si="315"/>
        <v>0</v>
      </c>
      <c r="Z71">
        <f t="shared" si="316"/>
        <v>0</v>
      </c>
      <c r="AA71">
        <f t="shared" si="317"/>
        <v>0</v>
      </c>
      <c r="AB71" s="25"/>
      <c r="AC71" s="25"/>
      <c r="AD71" s="25"/>
      <c r="AF71" s="48" t="s">
        <v>726</v>
      </c>
      <c r="AG71" s="689"/>
      <c r="AH71" s="689"/>
      <c r="AI71" s="48">
        <f t="shared" si="160"/>
        <v>0</v>
      </c>
      <c r="AJ71" s="48">
        <f t="shared" si="161"/>
        <v>0</v>
      </c>
      <c r="AK71" s="48">
        <f t="shared" si="162"/>
        <v>0</v>
      </c>
      <c r="AL71" s="48">
        <f t="shared" si="163"/>
        <v>0</v>
      </c>
      <c r="AM71" s="48">
        <f t="shared" si="164"/>
        <v>0</v>
      </c>
      <c r="AN71" s="48">
        <f t="shared" si="165"/>
        <v>0</v>
      </c>
      <c r="AO71" s="48">
        <f t="shared" si="166"/>
        <v>0</v>
      </c>
      <c r="AP71" s="48">
        <f t="shared" si="167"/>
        <v>0</v>
      </c>
      <c r="AQ71" s="48">
        <f t="shared" si="168"/>
        <v>0</v>
      </c>
      <c r="AR71" s="48">
        <f t="shared" si="169"/>
        <v>0</v>
      </c>
      <c r="AS71" s="48">
        <f t="shared" si="170"/>
        <v>0</v>
      </c>
      <c r="AT71" s="48">
        <f t="shared" si="171"/>
        <v>0</v>
      </c>
      <c r="AU71" s="48">
        <f t="shared" si="172"/>
        <v>0</v>
      </c>
      <c r="AV71" s="48">
        <f t="shared" si="173"/>
        <v>0</v>
      </c>
      <c r="AW71" s="48">
        <f t="shared" si="174"/>
        <v>0</v>
      </c>
      <c r="AX71" s="48">
        <f t="shared" si="175"/>
        <v>0</v>
      </c>
      <c r="AY71" s="48">
        <f t="shared" si="176"/>
        <v>0</v>
      </c>
      <c r="AZ71" s="48">
        <f t="shared" si="177"/>
        <v>0</v>
      </c>
      <c r="BA71" s="48">
        <f t="shared" si="178"/>
        <v>0</v>
      </c>
      <c r="BB71" s="48">
        <f t="shared" si="179"/>
        <v>0</v>
      </c>
      <c r="BC71" s="48">
        <f t="shared" si="180"/>
        <v>0</v>
      </c>
      <c r="BD71" s="48">
        <f t="shared" si="181"/>
        <v>0</v>
      </c>
      <c r="BE71" s="48">
        <f t="shared" si="182"/>
        <v>0</v>
      </c>
      <c r="BF71" s="48">
        <f t="shared" si="183"/>
        <v>0</v>
      </c>
      <c r="BG71" s="48">
        <f t="shared" si="184"/>
        <v>0</v>
      </c>
      <c r="BH71" s="48">
        <f t="shared" si="185"/>
        <v>0</v>
      </c>
      <c r="BI71" s="48">
        <f t="shared" si="186"/>
        <v>0</v>
      </c>
      <c r="BJ71" s="48">
        <f t="shared" si="187"/>
        <v>0</v>
      </c>
      <c r="BK71" s="48">
        <f t="shared" si="188"/>
        <v>0</v>
      </c>
      <c r="BL71" s="48">
        <f t="shared" si="189"/>
        <v>0</v>
      </c>
      <c r="BM71" s="48">
        <f t="shared" si="190"/>
        <v>0</v>
      </c>
      <c r="BN71" s="48">
        <f t="shared" si="191"/>
        <v>0</v>
      </c>
      <c r="BO71" s="48">
        <f t="shared" si="192"/>
        <v>0</v>
      </c>
      <c r="BP71" s="48">
        <f t="shared" si="193"/>
        <v>0</v>
      </c>
      <c r="BQ71" s="48">
        <f t="shared" si="194"/>
        <v>0</v>
      </c>
      <c r="BR71" s="48">
        <f t="shared" si="195"/>
        <v>0</v>
      </c>
      <c r="BS71" s="48">
        <f t="shared" si="196"/>
        <v>0</v>
      </c>
      <c r="BT71" s="48">
        <f t="shared" si="197"/>
        <v>0</v>
      </c>
      <c r="BU71" s="48">
        <f t="shared" si="198"/>
        <v>0</v>
      </c>
      <c r="BV71" s="48">
        <f t="shared" si="199"/>
        <v>0</v>
      </c>
      <c r="BW71" s="48">
        <f t="shared" si="200"/>
        <v>0</v>
      </c>
      <c r="BX71" s="48">
        <f t="shared" si="201"/>
        <v>0</v>
      </c>
      <c r="BY71" s="48">
        <f t="shared" si="202"/>
        <v>0</v>
      </c>
      <c r="BZ71" s="48">
        <f t="shared" si="203"/>
        <v>0</v>
      </c>
      <c r="CA71" s="48">
        <f t="shared" si="204"/>
        <v>0</v>
      </c>
      <c r="CB71" s="48">
        <f t="shared" si="205"/>
        <v>0</v>
      </c>
      <c r="CC71" s="48">
        <f t="shared" si="206"/>
        <v>0</v>
      </c>
      <c r="CD71" s="48">
        <f t="shared" si="207"/>
        <v>0</v>
      </c>
      <c r="CE71" s="48">
        <f t="shared" si="208"/>
        <v>0</v>
      </c>
      <c r="CF71" s="48">
        <f t="shared" si="209"/>
        <v>0</v>
      </c>
      <c r="CG71" s="48">
        <f t="shared" si="210"/>
        <v>0</v>
      </c>
      <c r="CH71" s="48">
        <f t="shared" si="211"/>
        <v>0</v>
      </c>
      <c r="CI71" s="48">
        <f t="shared" si="212"/>
        <v>0</v>
      </c>
      <c r="CJ71" s="48">
        <f t="shared" si="213"/>
        <v>0</v>
      </c>
      <c r="CK71" s="48">
        <f t="shared" si="214"/>
        <v>0</v>
      </c>
      <c r="CL71" s="48">
        <f t="shared" si="215"/>
        <v>0</v>
      </c>
      <c r="CM71" s="48">
        <f t="shared" si="216"/>
        <v>0</v>
      </c>
      <c r="CN71" s="48">
        <f t="shared" si="217"/>
        <v>0</v>
      </c>
      <c r="CO71" s="48">
        <f t="shared" si="218"/>
        <v>0</v>
      </c>
      <c r="CP71" s="48">
        <f t="shared" si="219"/>
        <v>0</v>
      </c>
      <c r="CQ71" s="48">
        <f t="shared" si="220"/>
        <v>0</v>
      </c>
      <c r="CR71" s="48">
        <f t="shared" si="221"/>
        <v>0</v>
      </c>
      <c r="CS71" s="48">
        <f t="shared" si="222"/>
        <v>0</v>
      </c>
      <c r="CT71" s="48">
        <f t="shared" si="223"/>
        <v>0</v>
      </c>
      <c r="CU71" s="48">
        <f t="shared" si="224"/>
        <v>0</v>
      </c>
      <c r="CV71" s="48">
        <f t="shared" si="225"/>
        <v>0</v>
      </c>
      <c r="CW71" s="48">
        <f t="shared" si="226"/>
        <v>0</v>
      </c>
      <c r="CX71" s="48">
        <f t="shared" si="227"/>
        <v>0</v>
      </c>
      <c r="CY71" s="48">
        <f t="shared" si="228"/>
        <v>0</v>
      </c>
      <c r="CZ71" s="48">
        <f t="shared" si="229"/>
        <v>0</v>
      </c>
      <c r="DA71" s="48">
        <f t="shared" si="230"/>
        <v>0</v>
      </c>
      <c r="DB71" s="48">
        <f t="shared" si="231"/>
        <v>0</v>
      </c>
      <c r="DC71" s="48">
        <f t="shared" si="232"/>
        <v>0</v>
      </c>
      <c r="DD71" s="48">
        <f t="shared" si="233"/>
        <v>0</v>
      </c>
      <c r="DE71" s="48">
        <f t="shared" si="234"/>
        <v>0</v>
      </c>
      <c r="DF71" s="48">
        <f t="shared" si="235"/>
        <v>0</v>
      </c>
      <c r="DG71" s="48">
        <f t="shared" si="236"/>
        <v>0</v>
      </c>
      <c r="DH71" s="48">
        <f t="shared" si="237"/>
        <v>0</v>
      </c>
      <c r="DI71" s="48">
        <f t="shared" si="238"/>
        <v>0</v>
      </c>
      <c r="DJ71" s="48">
        <f t="shared" si="239"/>
        <v>0</v>
      </c>
      <c r="DK71" s="48">
        <f t="shared" si="240"/>
        <v>0</v>
      </c>
      <c r="DL71" s="48">
        <f t="shared" si="241"/>
        <v>0</v>
      </c>
      <c r="DM71" s="48">
        <f t="shared" si="242"/>
        <v>0</v>
      </c>
      <c r="DN71" s="48">
        <f t="shared" si="243"/>
        <v>0</v>
      </c>
      <c r="DO71" s="48">
        <f t="shared" si="244"/>
        <v>0</v>
      </c>
      <c r="DP71" s="48">
        <f t="shared" si="245"/>
        <v>0</v>
      </c>
      <c r="DQ71" s="48">
        <f t="shared" si="246"/>
        <v>0</v>
      </c>
      <c r="DR71" s="48">
        <f t="shared" si="247"/>
        <v>0</v>
      </c>
      <c r="DS71" s="48">
        <f t="shared" si="248"/>
        <v>0</v>
      </c>
      <c r="DT71" s="48">
        <f t="shared" si="249"/>
        <v>0</v>
      </c>
      <c r="DU71" s="48">
        <f t="shared" si="250"/>
        <v>0</v>
      </c>
      <c r="DV71" s="48">
        <f t="shared" si="251"/>
        <v>0</v>
      </c>
      <c r="DW71" s="48">
        <f t="shared" si="252"/>
        <v>0</v>
      </c>
      <c r="DX71" s="48">
        <f t="shared" si="253"/>
        <v>0</v>
      </c>
      <c r="DY71" s="48">
        <f t="shared" si="254"/>
        <v>0</v>
      </c>
      <c r="DZ71" s="48">
        <f t="shared" si="255"/>
        <v>0</v>
      </c>
      <c r="EA71" s="48">
        <f t="shared" si="256"/>
        <v>0</v>
      </c>
      <c r="EB71" s="48">
        <f t="shared" si="257"/>
        <v>0</v>
      </c>
      <c r="EC71" s="48">
        <f t="shared" si="258"/>
        <v>0</v>
      </c>
      <c r="ED71" s="48">
        <f t="shared" si="259"/>
        <v>0</v>
      </c>
      <c r="EE71" s="48">
        <f t="shared" si="260"/>
        <v>0</v>
      </c>
      <c r="EF71" s="48">
        <f t="shared" si="261"/>
        <v>0</v>
      </c>
      <c r="EG71" s="48">
        <f t="shared" si="262"/>
        <v>0</v>
      </c>
      <c r="EH71" s="48">
        <f t="shared" si="263"/>
        <v>0</v>
      </c>
      <c r="EI71" s="48">
        <f t="shared" si="264"/>
        <v>0</v>
      </c>
      <c r="EJ71" s="48">
        <f t="shared" si="265"/>
        <v>0</v>
      </c>
      <c r="EK71" s="48">
        <f t="shared" si="266"/>
        <v>0</v>
      </c>
      <c r="EL71" s="48">
        <f t="shared" si="267"/>
        <v>0</v>
      </c>
      <c r="EM71" s="48">
        <f t="shared" si="268"/>
        <v>0</v>
      </c>
      <c r="EN71" s="48">
        <f t="shared" si="269"/>
        <v>0</v>
      </c>
      <c r="EO71" s="48">
        <f t="shared" si="270"/>
        <v>0</v>
      </c>
      <c r="EP71" s="48">
        <f t="shared" si="271"/>
        <v>0</v>
      </c>
      <c r="EQ71" s="48">
        <f t="shared" si="272"/>
        <v>0</v>
      </c>
      <c r="ER71" s="48">
        <f t="shared" si="273"/>
        <v>0</v>
      </c>
      <c r="ES71" s="48">
        <f t="shared" si="274"/>
        <v>0</v>
      </c>
      <c r="ET71" s="48">
        <f t="shared" si="275"/>
        <v>0</v>
      </c>
      <c r="EU71" s="48">
        <f t="shared" si="276"/>
        <v>0</v>
      </c>
      <c r="EV71" s="48">
        <f t="shared" si="277"/>
        <v>0</v>
      </c>
      <c r="EW71" s="48">
        <f t="shared" si="278"/>
        <v>0</v>
      </c>
      <c r="EX71" s="48">
        <f t="shared" si="279"/>
        <v>0</v>
      </c>
      <c r="EY71" s="48">
        <f t="shared" si="280"/>
        <v>0</v>
      </c>
      <c r="EZ71" s="48">
        <f t="shared" si="281"/>
        <v>0</v>
      </c>
      <c r="FA71" s="48">
        <f t="shared" si="282"/>
        <v>0</v>
      </c>
      <c r="FB71" s="48">
        <f t="shared" si="283"/>
        <v>0</v>
      </c>
      <c r="FC71" s="48">
        <f t="shared" si="284"/>
        <v>0</v>
      </c>
      <c r="FD71" s="48">
        <f t="shared" si="285"/>
        <v>0</v>
      </c>
      <c r="FE71" s="48">
        <f t="shared" si="286"/>
        <v>0</v>
      </c>
      <c r="FF71" s="48">
        <f t="shared" si="287"/>
        <v>0</v>
      </c>
      <c r="FG71" s="48">
        <f t="shared" si="288"/>
        <v>0</v>
      </c>
      <c r="FH71" s="48">
        <f t="shared" si="289"/>
        <v>0</v>
      </c>
      <c r="FI71" s="48">
        <f t="shared" si="290"/>
        <v>0</v>
      </c>
      <c r="FJ71" s="48">
        <f t="shared" si="291"/>
        <v>0</v>
      </c>
      <c r="FK71" s="48">
        <f t="shared" si="292"/>
        <v>0</v>
      </c>
      <c r="FL71" s="48">
        <f t="shared" si="293"/>
        <v>0</v>
      </c>
      <c r="FM71" s="48">
        <f t="shared" si="294"/>
        <v>0</v>
      </c>
      <c r="FN71" s="48">
        <f t="shared" si="295"/>
        <v>0</v>
      </c>
      <c r="FO71" s="48">
        <f t="shared" si="296"/>
        <v>0</v>
      </c>
      <c r="FP71" s="48">
        <f t="shared" si="297"/>
        <v>0</v>
      </c>
      <c r="FQ71" s="48">
        <f t="shared" si="298"/>
        <v>0</v>
      </c>
      <c r="FR71" s="48">
        <f t="shared" si="299"/>
        <v>0</v>
      </c>
      <c r="FS71" s="48">
        <f t="shared" si="300"/>
        <v>0</v>
      </c>
      <c r="FT71" s="48">
        <f t="shared" si="301"/>
        <v>0</v>
      </c>
      <c r="FU71" s="48">
        <f t="shared" si="302"/>
        <v>0</v>
      </c>
      <c r="FV71" s="48">
        <f t="shared" si="303"/>
        <v>0</v>
      </c>
      <c r="FW71" s="48">
        <f t="shared" si="304"/>
        <v>0</v>
      </c>
      <c r="FX71" s="48">
        <f t="shared" si="305"/>
        <v>0</v>
      </c>
      <c r="FY71" s="48">
        <f t="shared" si="306"/>
        <v>0</v>
      </c>
      <c r="FZ71" s="48">
        <f t="shared" si="307"/>
        <v>0</v>
      </c>
      <c r="GA71" s="48">
        <f t="shared" si="308"/>
        <v>0</v>
      </c>
      <c r="GB71" s="48">
        <f t="shared" si="309"/>
        <v>0</v>
      </c>
      <c r="GC71" s="48">
        <f t="shared" si="310"/>
        <v>0</v>
      </c>
      <c r="GG71">
        <f t="shared" si="311"/>
        <v>0</v>
      </c>
    </row>
    <row r="72" spans="1:189" x14ac:dyDescent="0.25">
      <c r="A72" s="690"/>
      <c r="B72" s="690"/>
      <c r="C72" s="690"/>
      <c r="D72" s="690"/>
      <c r="E72" s="690"/>
      <c r="F72" s="690"/>
      <c r="G72" s="889"/>
      <c r="H72" s="690"/>
      <c r="I72" s="690"/>
      <c r="J72" s="690"/>
      <c r="K72" s="690"/>
      <c r="L72" s="690"/>
      <c r="M72" s="690"/>
      <c r="N72" s="507" t="str">
        <f t="shared" si="159"/>
        <v/>
      </c>
      <c r="O72" s="690"/>
      <c r="P72" s="507" t="str">
        <f t="shared" si="158"/>
        <v/>
      </c>
      <c r="Q72" s="690"/>
      <c r="R72" s="690"/>
      <c r="S72" s="690"/>
      <c r="T72" s="690"/>
      <c r="U72">
        <f t="shared" si="312"/>
        <v>0</v>
      </c>
      <c r="V72">
        <f t="shared" si="313"/>
        <v>0</v>
      </c>
      <c r="X72">
        <f t="shared" si="314"/>
        <v>0</v>
      </c>
      <c r="Y72">
        <f t="shared" si="315"/>
        <v>0</v>
      </c>
      <c r="Z72">
        <f t="shared" si="316"/>
        <v>0</v>
      </c>
      <c r="AA72">
        <f t="shared" si="317"/>
        <v>0</v>
      </c>
      <c r="AB72" s="25"/>
      <c r="AC72" s="25"/>
      <c r="AD72" s="25"/>
      <c r="AF72" s="48" t="s">
        <v>727</v>
      </c>
      <c r="AG72" s="689"/>
      <c r="AH72" s="689"/>
      <c r="AI72" s="48">
        <f t="shared" si="160"/>
        <v>0</v>
      </c>
      <c r="AJ72" s="48">
        <f t="shared" si="161"/>
        <v>0</v>
      </c>
      <c r="AK72" s="48">
        <f t="shared" si="162"/>
        <v>0</v>
      </c>
      <c r="AL72" s="48">
        <f t="shared" si="163"/>
        <v>0</v>
      </c>
      <c r="AM72" s="48">
        <f t="shared" si="164"/>
        <v>0</v>
      </c>
      <c r="AN72" s="48">
        <f t="shared" si="165"/>
        <v>0</v>
      </c>
      <c r="AO72" s="48">
        <f t="shared" si="166"/>
        <v>0</v>
      </c>
      <c r="AP72" s="48">
        <f t="shared" si="167"/>
        <v>0</v>
      </c>
      <c r="AQ72" s="48">
        <f t="shared" si="168"/>
        <v>0</v>
      </c>
      <c r="AR72" s="48">
        <f t="shared" si="169"/>
        <v>0</v>
      </c>
      <c r="AS72" s="48">
        <f t="shared" si="170"/>
        <v>0</v>
      </c>
      <c r="AT72" s="48">
        <f t="shared" si="171"/>
        <v>0</v>
      </c>
      <c r="AU72" s="48">
        <f t="shared" si="172"/>
        <v>0</v>
      </c>
      <c r="AV72" s="48">
        <f t="shared" si="173"/>
        <v>0</v>
      </c>
      <c r="AW72" s="48">
        <f t="shared" si="174"/>
        <v>0</v>
      </c>
      <c r="AX72" s="48">
        <f t="shared" si="175"/>
        <v>0</v>
      </c>
      <c r="AY72" s="48">
        <f t="shared" si="176"/>
        <v>0</v>
      </c>
      <c r="AZ72" s="48">
        <f t="shared" si="177"/>
        <v>0</v>
      </c>
      <c r="BA72" s="48">
        <f t="shared" si="178"/>
        <v>0</v>
      </c>
      <c r="BB72" s="48">
        <f t="shared" si="179"/>
        <v>0</v>
      </c>
      <c r="BC72" s="48">
        <f t="shared" si="180"/>
        <v>0</v>
      </c>
      <c r="BD72" s="48">
        <f t="shared" si="181"/>
        <v>0</v>
      </c>
      <c r="BE72" s="48">
        <f t="shared" si="182"/>
        <v>0</v>
      </c>
      <c r="BF72" s="48">
        <f t="shared" si="183"/>
        <v>0</v>
      </c>
      <c r="BG72" s="48">
        <f t="shared" si="184"/>
        <v>0</v>
      </c>
      <c r="BH72" s="48">
        <f t="shared" si="185"/>
        <v>0</v>
      </c>
      <c r="BI72" s="48">
        <f t="shared" si="186"/>
        <v>0</v>
      </c>
      <c r="BJ72" s="48">
        <f t="shared" si="187"/>
        <v>0</v>
      </c>
      <c r="BK72" s="48">
        <f t="shared" si="188"/>
        <v>0</v>
      </c>
      <c r="BL72" s="48">
        <f t="shared" si="189"/>
        <v>0</v>
      </c>
      <c r="BM72" s="48">
        <f t="shared" si="190"/>
        <v>0</v>
      </c>
      <c r="BN72" s="48">
        <f t="shared" si="191"/>
        <v>0</v>
      </c>
      <c r="BO72" s="48">
        <f t="shared" si="192"/>
        <v>0</v>
      </c>
      <c r="BP72" s="48">
        <f t="shared" si="193"/>
        <v>0</v>
      </c>
      <c r="BQ72" s="48">
        <f t="shared" si="194"/>
        <v>0</v>
      </c>
      <c r="BR72" s="48">
        <f t="shared" si="195"/>
        <v>0</v>
      </c>
      <c r="BS72" s="48">
        <f t="shared" si="196"/>
        <v>0</v>
      </c>
      <c r="BT72" s="48">
        <f t="shared" si="197"/>
        <v>0</v>
      </c>
      <c r="BU72" s="48">
        <f t="shared" si="198"/>
        <v>0</v>
      </c>
      <c r="BV72" s="48">
        <f t="shared" si="199"/>
        <v>0</v>
      </c>
      <c r="BW72" s="48">
        <f t="shared" si="200"/>
        <v>0</v>
      </c>
      <c r="BX72" s="48">
        <f t="shared" si="201"/>
        <v>0</v>
      </c>
      <c r="BY72" s="48">
        <f t="shared" si="202"/>
        <v>0</v>
      </c>
      <c r="BZ72" s="48">
        <f t="shared" si="203"/>
        <v>0</v>
      </c>
      <c r="CA72" s="48">
        <f t="shared" si="204"/>
        <v>0</v>
      </c>
      <c r="CB72" s="48">
        <f t="shared" si="205"/>
        <v>0</v>
      </c>
      <c r="CC72" s="48">
        <f t="shared" si="206"/>
        <v>0</v>
      </c>
      <c r="CD72" s="48">
        <f t="shared" si="207"/>
        <v>0</v>
      </c>
      <c r="CE72" s="48">
        <f t="shared" si="208"/>
        <v>0</v>
      </c>
      <c r="CF72" s="48">
        <f t="shared" si="209"/>
        <v>0</v>
      </c>
      <c r="CG72" s="48">
        <f t="shared" si="210"/>
        <v>0</v>
      </c>
      <c r="CH72" s="48">
        <f t="shared" si="211"/>
        <v>0</v>
      </c>
      <c r="CI72" s="48">
        <f t="shared" si="212"/>
        <v>0</v>
      </c>
      <c r="CJ72" s="48">
        <f t="shared" si="213"/>
        <v>0</v>
      </c>
      <c r="CK72" s="48">
        <f t="shared" si="214"/>
        <v>0</v>
      </c>
      <c r="CL72" s="48">
        <f t="shared" si="215"/>
        <v>0</v>
      </c>
      <c r="CM72" s="48">
        <f t="shared" si="216"/>
        <v>0</v>
      </c>
      <c r="CN72" s="48">
        <f t="shared" si="217"/>
        <v>0</v>
      </c>
      <c r="CO72" s="48">
        <f t="shared" si="218"/>
        <v>0</v>
      </c>
      <c r="CP72" s="48">
        <f t="shared" si="219"/>
        <v>0</v>
      </c>
      <c r="CQ72" s="48">
        <f t="shared" si="220"/>
        <v>0</v>
      </c>
      <c r="CR72" s="48">
        <f t="shared" si="221"/>
        <v>0</v>
      </c>
      <c r="CS72" s="48">
        <f t="shared" si="222"/>
        <v>0</v>
      </c>
      <c r="CT72" s="48">
        <f t="shared" si="223"/>
        <v>0</v>
      </c>
      <c r="CU72" s="48">
        <f t="shared" si="224"/>
        <v>0</v>
      </c>
      <c r="CV72" s="48">
        <f t="shared" si="225"/>
        <v>0</v>
      </c>
      <c r="CW72" s="48">
        <f t="shared" si="226"/>
        <v>0</v>
      </c>
      <c r="CX72" s="48">
        <f t="shared" si="227"/>
        <v>0</v>
      </c>
      <c r="CY72" s="48">
        <f t="shared" si="228"/>
        <v>0</v>
      </c>
      <c r="CZ72" s="48">
        <f t="shared" si="229"/>
        <v>0</v>
      </c>
      <c r="DA72" s="48">
        <f t="shared" si="230"/>
        <v>0</v>
      </c>
      <c r="DB72" s="48">
        <f t="shared" si="231"/>
        <v>0</v>
      </c>
      <c r="DC72" s="48">
        <f t="shared" si="232"/>
        <v>0</v>
      </c>
      <c r="DD72" s="48">
        <f t="shared" si="233"/>
        <v>0</v>
      </c>
      <c r="DE72" s="48">
        <f t="shared" si="234"/>
        <v>0</v>
      </c>
      <c r="DF72" s="48">
        <f t="shared" si="235"/>
        <v>0</v>
      </c>
      <c r="DG72" s="48">
        <f t="shared" si="236"/>
        <v>0</v>
      </c>
      <c r="DH72" s="48">
        <f t="shared" si="237"/>
        <v>0</v>
      </c>
      <c r="DI72" s="48">
        <f t="shared" si="238"/>
        <v>0</v>
      </c>
      <c r="DJ72" s="48">
        <f t="shared" si="239"/>
        <v>0</v>
      </c>
      <c r="DK72" s="48">
        <f t="shared" si="240"/>
        <v>0</v>
      </c>
      <c r="DL72" s="48">
        <f t="shared" si="241"/>
        <v>0</v>
      </c>
      <c r="DM72" s="48">
        <f t="shared" si="242"/>
        <v>0</v>
      </c>
      <c r="DN72" s="48">
        <f t="shared" si="243"/>
        <v>0</v>
      </c>
      <c r="DO72" s="48">
        <f t="shared" si="244"/>
        <v>0</v>
      </c>
      <c r="DP72" s="48">
        <f t="shared" si="245"/>
        <v>0</v>
      </c>
      <c r="DQ72" s="48">
        <f t="shared" si="246"/>
        <v>0</v>
      </c>
      <c r="DR72" s="48">
        <f t="shared" si="247"/>
        <v>0</v>
      </c>
      <c r="DS72" s="48">
        <f t="shared" si="248"/>
        <v>0</v>
      </c>
      <c r="DT72" s="48">
        <f t="shared" si="249"/>
        <v>0</v>
      </c>
      <c r="DU72" s="48">
        <f t="shared" si="250"/>
        <v>0</v>
      </c>
      <c r="DV72" s="48">
        <f t="shared" si="251"/>
        <v>0</v>
      </c>
      <c r="DW72" s="48">
        <f t="shared" si="252"/>
        <v>0</v>
      </c>
      <c r="DX72" s="48">
        <f t="shared" si="253"/>
        <v>0</v>
      </c>
      <c r="DY72" s="48">
        <f t="shared" si="254"/>
        <v>0</v>
      </c>
      <c r="DZ72" s="48">
        <f t="shared" si="255"/>
        <v>0</v>
      </c>
      <c r="EA72" s="48">
        <f t="shared" si="256"/>
        <v>0</v>
      </c>
      <c r="EB72" s="48">
        <f t="shared" si="257"/>
        <v>0</v>
      </c>
      <c r="EC72" s="48">
        <f t="shared" si="258"/>
        <v>0</v>
      </c>
      <c r="ED72" s="48">
        <f t="shared" si="259"/>
        <v>0</v>
      </c>
      <c r="EE72" s="48">
        <f t="shared" si="260"/>
        <v>0</v>
      </c>
      <c r="EF72" s="48">
        <f t="shared" si="261"/>
        <v>0</v>
      </c>
      <c r="EG72" s="48">
        <f t="shared" si="262"/>
        <v>0</v>
      </c>
      <c r="EH72" s="48">
        <f t="shared" si="263"/>
        <v>0</v>
      </c>
      <c r="EI72" s="48">
        <f t="shared" si="264"/>
        <v>0</v>
      </c>
      <c r="EJ72" s="48">
        <f t="shared" si="265"/>
        <v>0</v>
      </c>
      <c r="EK72" s="48">
        <f t="shared" si="266"/>
        <v>0</v>
      </c>
      <c r="EL72" s="48">
        <f t="shared" si="267"/>
        <v>0</v>
      </c>
      <c r="EM72" s="48">
        <f t="shared" si="268"/>
        <v>0</v>
      </c>
      <c r="EN72" s="48">
        <f t="shared" si="269"/>
        <v>0</v>
      </c>
      <c r="EO72" s="48">
        <f t="shared" si="270"/>
        <v>0</v>
      </c>
      <c r="EP72" s="48">
        <f t="shared" si="271"/>
        <v>0</v>
      </c>
      <c r="EQ72" s="48">
        <f t="shared" si="272"/>
        <v>0</v>
      </c>
      <c r="ER72" s="48">
        <f t="shared" si="273"/>
        <v>0</v>
      </c>
      <c r="ES72" s="48">
        <f t="shared" si="274"/>
        <v>0</v>
      </c>
      <c r="ET72" s="48">
        <f t="shared" si="275"/>
        <v>0</v>
      </c>
      <c r="EU72" s="48">
        <f t="shared" si="276"/>
        <v>0</v>
      </c>
      <c r="EV72" s="48">
        <f t="shared" si="277"/>
        <v>0</v>
      </c>
      <c r="EW72" s="48">
        <f t="shared" si="278"/>
        <v>0</v>
      </c>
      <c r="EX72" s="48">
        <f t="shared" si="279"/>
        <v>0</v>
      </c>
      <c r="EY72" s="48">
        <f t="shared" si="280"/>
        <v>0</v>
      </c>
      <c r="EZ72" s="48">
        <f t="shared" si="281"/>
        <v>0</v>
      </c>
      <c r="FA72" s="48">
        <f t="shared" si="282"/>
        <v>0</v>
      </c>
      <c r="FB72" s="48">
        <f t="shared" si="283"/>
        <v>0</v>
      </c>
      <c r="FC72" s="48">
        <f t="shared" si="284"/>
        <v>0</v>
      </c>
      <c r="FD72" s="48">
        <f t="shared" si="285"/>
        <v>0</v>
      </c>
      <c r="FE72" s="48">
        <f t="shared" si="286"/>
        <v>0</v>
      </c>
      <c r="FF72" s="48">
        <f t="shared" si="287"/>
        <v>0</v>
      </c>
      <c r="FG72" s="48">
        <f t="shared" si="288"/>
        <v>0</v>
      </c>
      <c r="FH72" s="48">
        <f t="shared" si="289"/>
        <v>0</v>
      </c>
      <c r="FI72" s="48">
        <f t="shared" si="290"/>
        <v>0</v>
      </c>
      <c r="FJ72" s="48">
        <f t="shared" si="291"/>
        <v>0</v>
      </c>
      <c r="FK72" s="48">
        <f t="shared" si="292"/>
        <v>0</v>
      </c>
      <c r="FL72" s="48">
        <f t="shared" si="293"/>
        <v>0</v>
      </c>
      <c r="FM72" s="48">
        <f t="shared" si="294"/>
        <v>0</v>
      </c>
      <c r="FN72" s="48">
        <f t="shared" si="295"/>
        <v>0</v>
      </c>
      <c r="FO72" s="48">
        <f t="shared" si="296"/>
        <v>0</v>
      </c>
      <c r="FP72" s="48">
        <f t="shared" si="297"/>
        <v>0</v>
      </c>
      <c r="FQ72" s="48">
        <f t="shared" si="298"/>
        <v>0</v>
      </c>
      <c r="FR72" s="48">
        <f t="shared" si="299"/>
        <v>0</v>
      </c>
      <c r="FS72" s="48">
        <f t="shared" si="300"/>
        <v>0</v>
      </c>
      <c r="FT72" s="48">
        <f t="shared" si="301"/>
        <v>0</v>
      </c>
      <c r="FU72" s="48">
        <f t="shared" si="302"/>
        <v>0</v>
      </c>
      <c r="FV72" s="48">
        <f t="shared" si="303"/>
        <v>0</v>
      </c>
      <c r="FW72" s="48">
        <f t="shared" si="304"/>
        <v>0</v>
      </c>
      <c r="FX72" s="48">
        <f t="shared" si="305"/>
        <v>0</v>
      </c>
      <c r="FY72" s="48">
        <f t="shared" si="306"/>
        <v>0</v>
      </c>
      <c r="FZ72" s="48">
        <f t="shared" si="307"/>
        <v>0</v>
      </c>
      <c r="GA72" s="48">
        <f t="shared" si="308"/>
        <v>0</v>
      </c>
      <c r="GB72" s="48">
        <f t="shared" si="309"/>
        <v>0</v>
      </c>
      <c r="GC72" s="48">
        <f t="shared" si="310"/>
        <v>0</v>
      </c>
      <c r="GG72">
        <f t="shared" si="311"/>
        <v>0</v>
      </c>
    </row>
    <row r="73" spans="1:189" x14ac:dyDescent="0.25">
      <c r="A73" s="690"/>
      <c r="B73" s="690"/>
      <c r="C73" s="690"/>
      <c r="D73" s="690"/>
      <c r="E73" s="690"/>
      <c r="F73" s="690"/>
      <c r="G73" s="889"/>
      <c r="H73" s="690"/>
      <c r="I73" s="690"/>
      <c r="J73" s="690"/>
      <c r="K73" s="690"/>
      <c r="L73" s="690"/>
      <c r="M73" s="690"/>
      <c r="N73" s="507" t="str">
        <f t="shared" si="159"/>
        <v/>
      </c>
      <c r="O73" s="690"/>
      <c r="P73" s="507" t="str">
        <f t="shared" si="158"/>
        <v/>
      </c>
      <c r="Q73" s="690"/>
      <c r="R73" s="690"/>
      <c r="S73" s="690"/>
      <c r="T73" s="690"/>
      <c r="U73">
        <f t="shared" si="312"/>
        <v>0</v>
      </c>
      <c r="V73">
        <f t="shared" si="313"/>
        <v>0</v>
      </c>
      <c r="X73">
        <f t="shared" si="314"/>
        <v>0</v>
      </c>
      <c r="Y73">
        <f t="shared" si="315"/>
        <v>0</v>
      </c>
      <c r="Z73">
        <f t="shared" si="316"/>
        <v>0</v>
      </c>
      <c r="AA73">
        <f t="shared" si="317"/>
        <v>0</v>
      </c>
      <c r="AB73" s="25"/>
      <c r="AC73" s="25"/>
      <c r="AD73" s="25"/>
      <c r="AF73" s="48" t="s">
        <v>728</v>
      </c>
      <c r="AG73" s="689"/>
      <c r="AH73" s="689"/>
      <c r="AI73" s="48">
        <f t="shared" si="160"/>
        <v>0</v>
      </c>
      <c r="AJ73" s="48">
        <f t="shared" si="161"/>
        <v>0</v>
      </c>
      <c r="AK73" s="48">
        <f t="shared" si="162"/>
        <v>0</v>
      </c>
      <c r="AL73" s="48">
        <f t="shared" si="163"/>
        <v>0</v>
      </c>
      <c r="AM73" s="48">
        <f t="shared" si="164"/>
        <v>0</v>
      </c>
      <c r="AN73" s="48">
        <f t="shared" si="165"/>
        <v>0</v>
      </c>
      <c r="AO73" s="48">
        <f t="shared" si="166"/>
        <v>0</v>
      </c>
      <c r="AP73" s="48">
        <f t="shared" si="167"/>
        <v>0</v>
      </c>
      <c r="AQ73" s="48">
        <f t="shared" si="168"/>
        <v>0</v>
      </c>
      <c r="AR73" s="48">
        <f t="shared" si="169"/>
        <v>0</v>
      </c>
      <c r="AS73" s="48">
        <f t="shared" si="170"/>
        <v>0</v>
      </c>
      <c r="AT73" s="48">
        <f t="shared" si="171"/>
        <v>0</v>
      </c>
      <c r="AU73" s="48">
        <f t="shared" si="172"/>
        <v>0</v>
      </c>
      <c r="AV73" s="48">
        <f t="shared" si="173"/>
        <v>0</v>
      </c>
      <c r="AW73" s="48">
        <f t="shared" si="174"/>
        <v>0</v>
      </c>
      <c r="AX73" s="48">
        <f t="shared" si="175"/>
        <v>0</v>
      </c>
      <c r="AY73" s="48">
        <f t="shared" si="176"/>
        <v>0</v>
      </c>
      <c r="AZ73" s="48">
        <f t="shared" si="177"/>
        <v>0</v>
      </c>
      <c r="BA73" s="48">
        <f t="shared" si="178"/>
        <v>0</v>
      </c>
      <c r="BB73" s="48">
        <f t="shared" si="179"/>
        <v>0</v>
      </c>
      <c r="BC73" s="48">
        <f t="shared" si="180"/>
        <v>0</v>
      </c>
      <c r="BD73" s="48">
        <f t="shared" si="181"/>
        <v>0</v>
      </c>
      <c r="BE73" s="48">
        <f t="shared" si="182"/>
        <v>0</v>
      </c>
      <c r="BF73" s="48">
        <f t="shared" si="183"/>
        <v>0</v>
      </c>
      <c r="BG73" s="48">
        <f t="shared" si="184"/>
        <v>0</v>
      </c>
      <c r="BH73" s="48">
        <f t="shared" si="185"/>
        <v>0</v>
      </c>
      <c r="BI73" s="48">
        <f t="shared" si="186"/>
        <v>0</v>
      </c>
      <c r="BJ73" s="48">
        <f t="shared" si="187"/>
        <v>0</v>
      </c>
      <c r="BK73" s="48">
        <f t="shared" si="188"/>
        <v>0</v>
      </c>
      <c r="BL73" s="48">
        <f t="shared" si="189"/>
        <v>0</v>
      </c>
      <c r="BM73" s="48">
        <f t="shared" si="190"/>
        <v>0</v>
      </c>
      <c r="BN73" s="48">
        <f t="shared" si="191"/>
        <v>0</v>
      </c>
      <c r="BO73" s="48">
        <f t="shared" si="192"/>
        <v>0</v>
      </c>
      <c r="BP73" s="48">
        <f t="shared" si="193"/>
        <v>0</v>
      </c>
      <c r="BQ73" s="48">
        <f t="shared" si="194"/>
        <v>0</v>
      </c>
      <c r="BR73" s="48">
        <f t="shared" si="195"/>
        <v>0</v>
      </c>
      <c r="BS73" s="48">
        <f t="shared" si="196"/>
        <v>0</v>
      </c>
      <c r="BT73" s="48">
        <f t="shared" si="197"/>
        <v>0</v>
      </c>
      <c r="BU73" s="48">
        <f t="shared" si="198"/>
        <v>0</v>
      </c>
      <c r="BV73" s="48">
        <f t="shared" si="199"/>
        <v>0</v>
      </c>
      <c r="BW73" s="48">
        <f t="shared" si="200"/>
        <v>0</v>
      </c>
      <c r="BX73" s="48">
        <f t="shared" si="201"/>
        <v>0</v>
      </c>
      <c r="BY73" s="48">
        <f t="shared" si="202"/>
        <v>0</v>
      </c>
      <c r="BZ73" s="48">
        <f t="shared" si="203"/>
        <v>0</v>
      </c>
      <c r="CA73" s="48">
        <f t="shared" si="204"/>
        <v>0</v>
      </c>
      <c r="CB73" s="48">
        <f t="shared" si="205"/>
        <v>0</v>
      </c>
      <c r="CC73" s="48">
        <f t="shared" si="206"/>
        <v>0</v>
      </c>
      <c r="CD73" s="48">
        <f t="shared" si="207"/>
        <v>0</v>
      </c>
      <c r="CE73" s="48">
        <f t="shared" si="208"/>
        <v>0</v>
      </c>
      <c r="CF73" s="48">
        <f t="shared" si="209"/>
        <v>0</v>
      </c>
      <c r="CG73" s="48">
        <f t="shared" si="210"/>
        <v>0</v>
      </c>
      <c r="CH73" s="48">
        <f t="shared" si="211"/>
        <v>0</v>
      </c>
      <c r="CI73" s="48">
        <f t="shared" si="212"/>
        <v>0</v>
      </c>
      <c r="CJ73" s="48">
        <f t="shared" si="213"/>
        <v>0</v>
      </c>
      <c r="CK73" s="48">
        <f t="shared" si="214"/>
        <v>0</v>
      </c>
      <c r="CL73" s="48">
        <f t="shared" si="215"/>
        <v>0</v>
      </c>
      <c r="CM73" s="48">
        <f t="shared" si="216"/>
        <v>0</v>
      </c>
      <c r="CN73" s="48">
        <f t="shared" si="217"/>
        <v>0</v>
      </c>
      <c r="CO73" s="48">
        <f t="shared" si="218"/>
        <v>0</v>
      </c>
      <c r="CP73" s="48">
        <f t="shared" si="219"/>
        <v>0</v>
      </c>
      <c r="CQ73" s="48">
        <f t="shared" si="220"/>
        <v>0</v>
      </c>
      <c r="CR73" s="48">
        <f t="shared" si="221"/>
        <v>0</v>
      </c>
      <c r="CS73" s="48">
        <f t="shared" si="222"/>
        <v>0</v>
      </c>
      <c r="CT73" s="48">
        <f t="shared" si="223"/>
        <v>0</v>
      </c>
      <c r="CU73" s="48">
        <f t="shared" si="224"/>
        <v>0</v>
      </c>
      <c r="CV73" s="48">
        <f t="shared" si="225"/>
        <v>0</v>
      </c>
      <c r="CW73" s="48">
        <f t="shared" si="226"/>
        <v>0</v>
      </c>
      <c r="CX73" s="48">
        <f t="shared" si="227"/>
        <v>0</v>
      </c>
      <c r="CY73" s="48">
        <f t="shared" si="228"/>
        <v>0</v>
      </c>
      <c r="CZ73" s="48">
        <f t="shared" si="229"/>
        <v>0</v>
      </c>
      <c r="DA73" s="48">
        <f t="shared" si="230"/>
        <v>0</v>
      </c>
      <c r="DB73" s="48">
        <f t="shared" si="231"/>
        <v>0</v>
      </c>
      <c r="DC73" s="48">
        <f t="shared" si="232"/>
        <v>0</v>
      </c>
      <c r="DD73" s="48">
        <f t="shared" si="233"/>
        <v>0</v>
      </c>
      <c r="DE73" s="48">
        <f t="shared" si="234"/>
        <v>0</v>
      </c>
      <c r="DF73" s="48">
        <f t="shared" si="235"/>
        <v>0</v>
      </c>
      <c r="DG73" s="48">
        <f t="shared" si="236"/>
        <v>0</v>
      </c>
      <c r="DH73" s="48">
        <f t="shared" si="237"/>
        <v>0</v>
      </c>
      <c r="DI73" s="48">
        <f t="shared" si="238"/>
        <v>0</v>
      </c>
      <c r="DJ73" s="48">
        <f t="shared" si="239"/>
        <v>0</v>
      </c>
      <c r="DK73" s="48">
        <f t="shared" si="240"/>
        <v>0</v>
      </c>
      <c r="DL73" s="48">
        <f t="shared" si="241"/>
        <v>0</v>
      </c>
      <c r="DM73" s="48">
        <f t="shared" si="242"/>
        <v>0</v>
      </c>
      <c r="DN73" s="48">
        <f t="shared" si="243"/>
        <v>0</v>
      </c>
      <c r="DO73" s="48">
        <f t="shared" si="244"/>
        <v>0</v>
      </c>
      <c r="DP73" s="48">
        <f t="shared" si="245"/>
        <v>0</v>
      </c>
      <c r="DQ73" s="48">
        <f t="shared" si="246"/>
        <v>0</v>
      </c>
      <c r="DR73" s="48">
        <f t="shared" si="247"/>
        <v>0</v>
      </c>
      <c r="DS73" s="48">
        <f t="shared" si="248"/>
        <v>0</v>
      </c>
      <c r="DT73" s="48">
        <f t="shared" si="249"/>
        <v>0</v>
      </c>
      <c r="DU73" s="48">
        <f t="shared" si="250"/>
        <v>0</v>
      </c>
      <c r="DV73" s="48">
        <f t="shared" si="251"/>
        <v>0</v>
      </c>
      <c r="DW73" s="48">
        <f t="shared" si="252"/>
        <v>0</v>
      </c>
      <c r="DX73" s="48">
        <f t="shared" si="253"/>
        <v>0</v>
      </c>
      <c r="DY73" s="48">
        <f t="shared" si="254"/>
        <v>0</v>
      </c>
      <c r="DZ73" s="48">
        <f t="shared" si="255"/>
        <v>0</v>
      </c>
      <c r="EA73" s="48">
        <f t="shared" si="256"/>
        <v>0</v>
      </c>
      <c r="EB73" s="48">
        <f t="shared" si="257"/>
        <v>0</v>
      </c>
      <c r="EC73" s="48">
        <f t="shared" si="258"/>
        <v>0</v>
      </c>
      <c r="ED73" s="48">
        <f t="shared" si="259"/>
        <v>0</v>
      </c>
      <c r="EE73" s="48">
        <f t="shared" si="260"/>
        <v>0</v>
      </c>
      <c r="EF73" s="48">
        <f t="shared" si="261"/>
        <v>0</v>
      </c>
      <c r="EG73" s="48">
        <f t="shared" si="262"/>
        <v>0</v>
      </c>
      <c r="EH73" s="48">
        <f t="shared" si="263"/>
        <v>0</v>
      </c>
      <c r="EI73" s="48">
        <f t="shared" si="264"/>
        <v>0</v>
      </c>
      <c r="EJ73" s="48">
        <f t="shared" si="265"/>
        <v>0</v>
      </c>
      <c r="EK73" s="48">
        <f t="shared" si="266"/>
        <v>0</v>
      </c>
      <c r="EL73" s="48">
        <f t="shared" si="267"/>
        <v>0</v>
      </c>
      <c r="EM73" s="48">
        <f t="shared" si="268"/>
        <v>0</v>
      </c>
      <c r="EN73" s="48">
        <f t="shared" si="269"/>
        <v>0</v>
      </c>
      <c r="EO73" s="48">
        <f t="shared" si="270"/>
        <v>0</v>
      </c>
      <c r="EP73" s="48">
        <f t="shared" si="271"/>
        <v>0</v>
      </c>
      <c r="EQ73" s="48">
        <f t="shared" si="272"/>
        <v>0</v>
      </c>
      <c r="ER73" s="48">
        <f t="shared" si="273"/>
        <v>0</v>
      </c>
      <c r="ES73" s="48">
        <f t="shared" si="274"/>
        <v>0</v>
      </c>
      <c r="ET73" s="48">
        <f t="shared" si="275"/>
        <v>0</v>
      </c>
      <c r="EU73" s="48">
        <f t="shared" si="276"/>
        <v>0</v>
      </c>
      <c r="EV73" s="48">
        <f t="shared" si="277"/>
        <v>0</v>
      </c>
      <c r="EW73" s="48">
        <f t="shared" si="278"/>
        <v>0</v>
      </c>
      <c r="EX73" s="48">
        <f t="shared" si="279"/>
        <v>0</v>
      </c>
      <c r="EY73" s="48">
        <f t="shared" si="280"/>
        <v>0</v>
      </c>
      <c r="EZ73" s="48">
        <f t="shared" si="281"/>
        <v>0</v>
      </c>
      <c r="FA73" s="48">
        <f t="shared" si="282"/>
        <v>0</v>
      </c>
      <c r="FB73" s="48">
        <f t="shared" si="283"/>
        <v>0</v>
      </c>
      <c r="FC73" s="48">
        <f t="shared" si="284"/>
        <v>0</v>
      </c>
      <c r="FD73" s="48">
        <f t="shared" si="285"/>
        <v>0</v>
      </c>
      <c r="FE73" s="48">
        <f t="shared" si="286"/>
        <v>0</v>
      </c>
      <c r="FF73" s="48">
        <f t="shared" si="287"/>
        <v>0</v>
      </c>
      <c r="FG73" s="48">
        <f t="shared" si="288"/>
        <v>0</v>
      </c>
      <c r="FH73" s="48">
        <f t="shared" si="289"/>
        <v>0</v>
      </c>
      <c r="FI73" s="48">
        <f t="shared" si="290"/>
        <v>0</v>
      </c>
      <c r="FJ73" s="48">
        <f t="shared" si="291"/>
        <v>0</v>
      </c>
      <c r="FK73" s="48">
        <f t="shared" si="292"/>
        <v>0</v>
      </c>
      <c r="FL73" s="48">
        <f t="shared" si="293"/>
        <v>0</v>
      </c>
      <c r="FM73" s="48">
        <f t="shared" si="294"/>
        <v>0</v>
      </c>
      <c r="FN73" s="48">
        <f t="shared" si="295"/>
        <v>0</v>
      </c>
      <c r="FO73" s="48">
        <f t="shared" si="296"/>
        <v>0</v>
      </c>
      <c r="FP73" s="48">
        <f t="shared" si="297"/>
        <v>0</v>
      </c>
      <c r="FQ73" s="48">
        <f t="shared" si="298"/>
        <v>0</v>
      </c>
      <c r="FR73" s="48">
        <f t="shared" si="299"/>
        <v>0</v>
      </c>
      <c r="FS73" s="48">
        <f t="shared" si="300"/>
        <v>0</v>
      </c>
      <c r="FT73" s="48">
        <f t="shared" si="301"/>
        <v>0</v>
      </c>
      <c r="FU73" s="48">
        <f t="shared" si="302"/>
        <v>0</v>
      </c>
      <c r="FV73" s="48">
        <f t="shared" si="303"/>
        <v>0</v>
      </c>
      <c r="FW73" s="48">
        <f t="shared" si="304"/>
        <v>0</v>
      </c>
      <c r="FX73" s="48">
        <f t="shared" si="305"/>
        <v>0</v>
      </c>
      <c r="FY73" s="48">
        <f t="shared" si="306"/>
        <v>0</v>
      </c>
      <c r="FZ73" s="48">
        <f t="shared" si="307"/>
        <v>0</v>
      </c>
      <c r="GA73" s="48">
        <f t="shared" si="308"/>
        <v>0</v>
      </c>
      <c r="GB73" s="48">
        <f t="shared" si="309"/>
        <v>0</v>
      </c>
      <c r="GC73" s="48">
        <f t="shared" si="310"/>
        <v>0</v>
      </c>
      <c r="GG73">
        <f t="shared" si="311"/>
        <v>0</v>
      </c>
    </row>
    <row r="74" spans="1:189" x14ac:dyDescent="0.25">
      <c r="A74" s="690"/>
      <c r="B74" s="690"/>
      <c r="C74" s="690"/>
      <c r="D74" s="690"/>
      <c r="E74" s="690"/>
      <c r="F74" s="690"/>
      <c r="G74" s="889"/>
      <c r="H74" s="690"/>
      <c r="I74" s="690"/>
      <c r="J74" s="690"/>
      <c r="K74" s="690"/>
      <c r="L74" s="690"/>
      <c r="M74" s="690"/>
      <c r="N74" s="507" t="str">
        <f t="shared" si="159"/>
        <v/>
      </c>
      <c r="O74" s="690"/>
      <c r="P74" s="507" t="str">
        <f t="shared" si="158"/>
        <v/>
      </c>
      <c r="Q74" s="690"/>
      <c r="R74" s="690"/>
      <c r="S74" s="690"/>
      <c r="T74" s="690"/>
      <c r="U74">
        <f t="shared" si="312"/>
        <v>0</v>
      </c>
      <c r="V74">
        <f t="shared" si="313"/>
        <v>0</v>
      </c>
      <c r="X74">
        <f t="shared" si="314"/>
        <v>0</v>
      </c>
      <c r="Y74">
        <f t="shared" si="315"/>
        <v>0</v>
      </c>
      <c r="Z74">
        <f t="shared" si="316"/>
        <v>0</v>
      </c>
      <c r="AA74">
        <f t="shared" si="317"/>
        <v>0</v>
      </c>
      <c r="AB74" s="25"/>
      <c r="AC74" s="25"/>
      <c r="AD74" s="25"/>
      <c r="AF74" s="48" t="s">
        <v>729</v>
      </c>
      <c r="AG74" s="689"/>
      <c r="AH74" s="689"/>
      <c r="AI74" s="48">
        <f t="shared" si="160"/>
        <v>0</v>
      </c>
      <c r="AJ74" s="48">
        <f t="shared" si="161"/>
        <v>0</v>
      </c>
      <c r="AK74" s="48">
        <f t="shared" si="162"/>
        <v>0</v>
      </c>
      <c r="AL74" s="48">
        <f t="shared" si="163"/>
        <v>0</v>
      </c>
      <c r="AM74" s="48">
        <f t="shared" si="164"/>
        <v>0</v>
      </c>
      <c r="AN74" s="48">
        <f t="shared" si="165"/>
        <v>0</v>
      </c>
      <c r="AO74" s="48">
        <f t="shared" si="166"/>
        <v>0</v>
      </c>
      <c r="AP74" s="48">
        <f t="shared" si="167"/>
        <v>0</v>
      </c>
      <c r="AQ74" s="48">
        <f t="shared" si="168"/>
        <v>0</v>
      </c>
      <c r="AR74" s="48">
        <f t="shared" si="169"/>
        <v>0</v>
      </c>
      <c r="AS74" s="48">
        <f t="shared" si="170"/>
        <v>0</v>
      </c>
      <c r="AT74" s="48">
        <f t="shared" si="171"/>
        <v>0</v>
      </c>
      <c r="AU74" s="48">
        <f t="shared" si="172"/>
        <v>0</v>
      </c>
      <c r="AV74" s="48">
        <f t="shared" si="173"/>
        <v>0</v>
      </c>
      <c r="AW74" s="48">
        <f t="shared" si="174"/>
        <v>0</v>
      </c>
      <c r="AX74" s="48">
        <f t="shared" si="175"/>
        <v>0</v>
      </c>
      <c r="AY74" s="48">
        <f t="shared" si="176"/>
        <v>0</v>
      </c>
      <c r="AZ74" s="48">
        <f t="shared" si="177"/>
        <v>0</v>
      </c>
      <c r="BA74" s="48">
        <f t="shared" si="178"/>
        <v>0</v>
      </c>
      <c r="BB74" s="48">
        <f t="shared" si="179"/>
        <v>0</v>
      </c>
      <c r="BC74" s="48">
        <f t="shared" si="180"/>
        <v>0</v>
      </c>
      <c r="BD74" s="48">
        <f t="shared" si="181"/>
        <v>0</v>
      </c>
      <c r="BE74" s="48">
        <f t="shared" si="182"/>
        <v>0</v>
      </c>
      <c r="BF74" s="48">
        <f t="shared" si="183"/>
        <v>0</v>
      </c>
      <c r="BG74" s="48">
        <f t="shared" si="184"/>
        <v>0</v>
      </c>
      <c r="BH74" s="48">
        <f t="shared" si="185"/>
        <v>0</v>
      </c>
      <c r="BI74" s="48">
        <f t="shared" si="186"/>
        <v>0</v>
      </c>
      <c r="BJ74" s="48">
        <f t="shared" si="187"/>
        <v>0</v>
      </c>
      <c r="BK74" s="48">
        <f t="shared" si="188"/>
        <v>0</v>
      </c>
      <c r="BL74" s="48">
        <f t="shared" si="189"/>
        <v>0</v>
      </c>
      <c r="BM74" s="48">
        <f t="shared" si="190"/>
        <v>0</v>
      </c>
      <c r="BN74" s="48">
        <f t="shared" si="191"/>
        <v>0</v>
      </c>
      <c r="BO74" s="48">
        <f t="shared" si="192"/>
        <v>0</v>
      </c>
      <c r="BP74" s="48">
        <f t="shared" si="193"/>
        <v>0</v>
      </c>
      <c r="BQ74" s="48">
        <f t="shared" si="194"/>
        <v>0</v>
      </c>
      <c r="BR74" s="48">
        <f t="shared" si="195"/>
        <v>0</v>
      </c>
      <c r="BS74" s="48">
        <f t="shared" si="196"/>
        <v>0</v>
      </c>
      <c r="BT74" s="48">
        <f t="shared" si="197"/>
        <v>0</v>
      </c>
      <c r="BU74" s="48">
        <f t="shared" si="198"/>
        <v>0</v>
      </c>
      <c r="BV74" s="48">
        <f t="shared" si="199"/>
        <v>0</v>
      </c>
      <c r="BW74" s="48">
        <f t="shared" si="200"/>
        <v>0</v>
      </c>
      <c r="BX74" s="48">
        <f t="shared" si="201"/>
        <v>0</v>
      </c>
      <c r="BY74" s="48">
        <f t="shared" si="202"/>
        <v>0</v>
      </c>
      <c r="BZ74" s="48">
        <f t="shared" si="203"/>
        <v>0</v>
      </c>
      <c r="CA74" s="48">
        <f t="shared" si="204"/>
        <v>0</v>
      </c>
      <c r="CB74" s="48">
        <f t="shared" si="205"/>
        <v>0</v>
      </c>
      <c r="CC74" s="48">
        <f t="shared" si="206"/>
        <v>0</v>
      </c>
      <c r="CD74" s="48">
        <f t="shared" si="207"/>
        <v>0</v>
      </c>
      <c r="CE74" s="48">
        <f t="shared" si="208"/>
        <v>0</v>
      </c>
      <c r="CF74" s="48">
        <f t="shared" si="209"/>
        <v>0</v>
      </c>
      <c r="CG74" s="48">
        <f t="shared" si="210"/>
        <v>0</v>
      </c>
      <c r="CH74" s="48">
        <f t="shared" si="211"/>
        <v>0</v>
      </c>
      <c r="CI74" s="48">
        <f t="shared" si="212"/>
        <v>0</v>
      </c>
      <c r="CJ74" s="48">
        <f t="shared" si="213"/>
        <v>0</v>
      </c>
      <c r="CK74" s="48">
        <f t="shared" si="214"/>
        <v>0</v>
      </c>
      <c r="CL74" s="48">
        <f t="shared" si="215"/>
        <v>0</v>
      </c>
      <c r="CM74" s="48">
        <f t="shared" si="216"/>
        <v>0</v>
      </c>
      <c r="CN74" s="48">
        <f t="shared" si="217"/>
        <v>0</v>
      </c>
      <c r="CO74" s="48">
        <f t="shared" si="218"/>
        <v>0</v>
      </c>
      <c r="CP74" s="48">
        <f t="shared" si="219"/>
        <v>0</v>
      </c>
      <c r="CQ74" s="48">
        <f t="shared" si="220"/>
        <v>0</v>
      </c>
      <c r="CR74" s="48">
        <f t="shared" si="221"/>
        <v>0</v>
      </c>
      <c r="CS74" s="48">
        <f t="shared" si="222"/>
        <v>0</v>
      </c>
      <c r="CT74" s="48">
        <f t="shared" si="223"/>
        <v>0</v>
      </c>
      <c r="CU74" s="48">
        <f t="shared" si="224"/>
        <v>0</v>
      </c>
      <c r="CV74" s="48">
        <f t="shared" si="225"/>
        <v>0</v>
      </c>
      <c r="CW74" s="48">
        <f t="shared" si="226"/>
        <v>0</v>
      </c>
      <c r="CX74" s="48">
        <f t="shared" si="227"/>
        <v>0</v>
      </c>
      <c r="CY74" s="48">
        <f t="shared" si="228"/>
        <v>0</v>
      </c>
      <c r="CZ74" s="48">
        <f t="shared" si="229"/>
        <v>0</v>
      </c>
      <c r="DA74" s="48">
        <f t="shared" si="230"/>
        <v>0</v>
      </c>
      <c r="DB74" s="48">
        <f t="shared" si="231"/>
        <v>0</v>
      </c>
      <c r="DC74" s="48">
        <f t="shared" si="232"/>
        <v>0</v>
      </c>
      <c r="DD74" s="48">
        <f t="shared" si="233"/>
        <v>0</v>
      </c>
      <c r="DE74" s="48">
        <f t="shared" si="234"/>
        <v>0</v>
      </c>
      <c r="DF74" s="48">
        <f t="shared" si="235"/>
        <v>0</v>
      </c>
      <c r="DG74" s="48">
        <f t="shared" si="236"/>
        <v>0</v>
      </c>
      <c r="DH74" s="48">
        <f t="shared" si="237"/>
        <v>0</v>
      </c>
      <c r="DI74" s="48">
        <f t="shared" si="238"/>
        <v>0</v>
      </c>
      <c r="DJ74" s="48">
        <f t="shared" si="239"/>
        <v>0</v>
      </c>
      <c r="DK74" s="48">
        <f t="shared" si="240"/>
        <v>0</v>
      </c>
      <c r="DL74" s="48">
        <f t="shared" si="241"/>
        <v>0</v>
      </c>
      <c r="DM74" s="48">
        <f t="shared" si="242"/>
        <v>0</v>
      </c>
      <c r="DN74" s="48">
        <f t="shared" si="243"/>
        <v>0</v>
      </c>
      <c r="DO74" s="48">
        <f t="shared" si="244"/>
        <v>0</v>
      </c>
      <c r="DP74" s="48">
        <f t="shared" si="245"/>
        <v>0</v>
      </c>
      <c r="DQ74" s="48">
        <f t="shared" si="246"/>
        <v>0</v>
      </c>
      <c r="DR74" s="48">
        <f t="shared" si="247"/>
        <v>0</v>
      </c>
      <c r="DS74" s="48">
        <f t="shared" si="248"/>
        <v>0</v>
      </c>
      <c r="DT74" s="48">
        <f t="shared" si="249"/>
        <v>0</v>
      </c>
      <c r="DU74" s="48">
        <f t="shared" si="250"/>
        <v>0</v>
      </c>
      <c r="DV74" s="48">
        <f t="shared" si="251"/>
        <v>0</v>
      </c>
      <c r="DW74" s="48">
        <f t="shared" si="252"/>
        <v>0</v>
      </c>
      <c r="DX74" s="48">
        <f t="shared" si="253"/>
        <v>0</v>
      </c>
      <c r="DY74" s="48">
        <f t="shared" si="254"/>
        <v>0</v>
      </c>
      <c r="DZ74" s="48">
        <f t="shared" si="255"/>
        <v>0</v>
      </c>
      <c r="EA74" s="48">
        <f t="shared" si="256"/>
        <v>0</v>
      </c>
      <c r="EB74" s="48">
        <f t="shared" si="257"/>
        <v>0</v>
      </c>
      <c r="EC74" s="48">
        <f t="shared" si="258"/>
        <v>0</v>
      </c>
      <c r="ED74" s="48">
        <f t="shared" si="259"/>
        <v>0</v>
      </c>
      <c r="EE74" s="48">
        <f t="shared" si="260"/>
        <v>0</v>
      </c>
      <c r="EF74" s="48">
        <f t="shared" si="261"/>
        <v>0</v>
      </c>
      <c r="EG74" s="48">
        <f t="shared" si="262"/>
        <v>0</v>
      </c>
      <c r="EH74" s="48">
        <f t="shared" si="263"/>
        <v>0</v>
      </c>
      <c r="EI74" s="48">
        <f t="shared" si="264"/>
        <v>0</v>
      </c>
      <c r="EJ74" s="48">
        <f t="shared" si="265"/>
        <v>0</v>
      </c>
      <c r="EK74" s="48">
        <f t="shared" si="266"/>
        <v>0</v>
      </c>
      <c r="EL74" s="48">
        <f t="shared" si="267"/>
        <v>0</v>
      </c>
      <c r="EM74" s="48">
        <f t="shared" si="268"/>
        <v>0</v>
      </c>
      <c r="EN74" s="48">
        <f t="shared" si="269"/>
        <v>0</v>
      </c>
      <c r="EO74" s="48">
        <f t="shared" si="270"/>
        <v>0</v>
      </c>
      <c r="EP74" s="48">
        <f t="shared" si="271"/>
        <v>0</v>
      </c>
      <c r="EQ74" s="48">
        <f t="shared" si="272"/>
        <v>0</v>
      </c>
      <c r="ER74" s="48">
        <f t="shared" si="273"/>
        <v>0</v>
      </c>
      <c r="ES74" s="48">
        <f t="shared" si="274"/>
        <v>0</v>
      </c>
      <c r="ET74" s="48">
        <f t="shared" si="275"/>
        <v>0</v>
      </c>
      <c r="EU74" s="48">
        <f t="shared" si="276"/>
        <v>0</v>
      </c>
      <c r="EV74" s="48">
        <f t="shared" si="277"/>
        <v>0</v>
      </c>
      <c r="EW74" s="48">
        <f t="shared" si="278"/>
        <v>0</v>
      </c>
      <c r="EX74" s="48">
        <f t="shared" si="279"/>
        <v>0</v>
      </c>
      <c r="EY74" s="48">
        <f t="shared" si="280"/>
        <v>0</v>
      </c>
      <c r="EZ74" s="48">
        <f t="shared" si="281"/>
        <v>0</v>
      </c>
      <c r="FA74" s="48">
        <f t="shared" si="282"/>
        <v>0</v>
      </c>
      <c r="FB74" s="48">
        <f t="shared" si="283"/>
        <v>0</v>
      </c>
      <c r="FC74" s="48">
        <f t="shared" si="284"/>
        <v>0</v>
      </c>
      <c r="FD74" s="48">
        <f t="shared" si="285"/>
        <v>0</v>
      </c>
      <c r="FE74" s="48">
        <f t="shared" si="286"/>
        <v>0</v>
      </c>
      <c r="FF74" s="48">
        <f t="shared" si="287"/>
        <v>0</v>
      </c>
      <c r="FG74" s="48">
        <f t="shared" si="288"/>
        <v>0</v>
      </c>
      <c r="FH74" s="48">
        <f t="shared" si="289"/>
        <v>0</v>
      </c>
      <c r="FI74" s="48">
        <f t="shared" si="290"/>
        <v>0</v>
      </c>
      <c r="FJ74" s="48">
        <f t="shared" si="291"/>
        <v>0</v>
      </c>
      <c r="FK74" s="48">
        <f t="shared" si="292"/>
        <v>0</v>
      </c>
      <c r="FL74" s="48">
        <f t="shared" si="293"/>
        <v>0</v>
      </c>
      <c r="FM74" s="48">
        <f t="shared" si="294"/>
        <v>0</v>
      </c>
      <c r="FN74" s="48">
        <f t="shared" si="295"/>
        <v>0</v>
      </c>
      <c r="FO74" s="48">
        <f t="shared" si="296"/>
        <v>0</v>
      </c>
      <c r="FP74" s="48">
        <f t="shared" si="297"/>
        <v>0</v>
      </c>
      <c r="FQ74" s="48">
        <f t="shared" si="298"/>
        <v>0</v>
      </c>
      <c r="FR74" s="48">
        <f t="shared" si="299"/>
        <v>0</v>
      </c>
      <c r="FS74" s="48">
        <f t="shared" si="300"/>
        <v>0</v>
      </c>
      <c r="FT74" s="48">
        <f t="shared" si="301"/>
        <v>0</v>
      </c>
      <c r="FU74" s="48">
        <f t="shared" si="302"/>
        <v>0</v>
      </c>
      <c r="FV74" s="48">
        <f t="shared" si="303"/>
        <v>0</v>
      </c>
      <c r="FW74" s="48">
        <f t="shared" si="304"/>
        <v>0</v>
      </c>
      <c r="FX74" s="48">
        <f t="shared" si="305"/>
        <v>0</v>
      </c>
      <c r="FY74" s="48">
        <f t="shared" si="306"/>
        <v>0</v>
      </c>
      <c r="FZ74" s="48">
        <f t="shared" si="307"/>
        <v>0</v>
      </c>
      <c r="GA74" s="48">
        <f t="shared" si="308"/>
        <v>0</v>
      </c>
      <c r="GB74" s="48">
        <f t="shared" si="309"/>
        <v>0</v>
      </c>
      <c r="GC74" s="48">
        <f t="shared" si="310"/>
        <v>0</v>
      </c>
      <c r="GG74">
        <f t="shared" si="311"/>
        <v>0</v>
      </c>
    </row>
    <row r="75" spans="1:189" x14ac:dyDescent="0.25">
      <c r="A75" s="690"/>
      <c r="B75" s="690"/>
      <c r="C75" s="690"/>
      <c r="D75" s="690"/>
      <c r="E75" s="690"/>
      <c r="F75" s="690"/>
      <c r="G75" s="889"/>
      <c r="H75" s="690"/>
      <c r="I75" s="690"/>
      <c r="J75" s="690"/>
      <c r="K75" s="690"/>
      <c r="L75" s="690"/>
      <c r="M75" s="690"/>
      <c r="N75" s="507" t="str">
        <f t="shared" si="159"/>
        <v/>
      </c>
      <c r="O75" s="690"/>
      <c r="P75" s="507" t="str">
        <f t="shared" si="158"/>
        <v/>
      </c>
      <c r="Q75" s="690"/>
      <c r="R75" s="690"/>
      <c r="S75" s="690"/>
      <c r="T75" s="690"/>
      <c r="U75">
        <f t="shared" ref="U75:U106" si="318">IF(A75&lt;&gt;"",1,0)</f>
        <v>0</v>
      </c>
      <c r="V75">
        <f t="shared" ref="V75:V106" si="319">IF(OR(J75="Yes",K75="Yes",L75="Yes"), 1, 0)</f>
        <v>0</v>
      </c>
      <c r="X75">
        <f t="shared" ref="X75:X106" si="320">IF(R75="Yes", 1, 0)</f>
        <v>0</v>
      </c>
      <c r="Y75">
        <f t="shared" ref="Y75:Y106" si="321">IF(S75="Yes", 1, 0)</f>
        <v>0</v>
      </c>
      <c r="Z75">
        <f t="shared" ref="Z75:Z106" si="322">IF(T75="Yes", 1, 0)</f>
        <v>0</v>
      </c>
      <c r="AA75">
        <f t="shared" ref="AA75:AA106" si="323">IF(Q75="Yes", 1,0)</f>
        <v>0</v>
      </c>
      <c r="AB75" s="25"/>
      <c r="AC75" s="25"/>
      <c r="AD75" s="25"/>
      <c r="AF75" s="48" t="s">
        <v>730</v>
      </c>
      <c r="AG75" s="689"/>
      <c r="AH75" s="689"/>
      <c r="AI75" s="48">
        <f t="shared" si="160"/>
        <v>0</v>
      </c>
      <c r="AJ75" s="48">
        <f t="shared" si="161"/>
        <v>0</v>
      </c>
      <c r="AK75" s="48">
        <f t="shared" si="162"/>
        <v>0</v>
      </c>
      <c r="AL75" s="48">
        <f t="shared" si="163"/>
        <v>0</v>
      </c>
      <c r="AM75" s="48">
        <f t="shared" si="164"/>
        <v>0</v>
      </c>
      <c r="AN75" s="48">
        <f t="shared" si="165"/>
        <v>0</v>
      </c>
      <c r="AO75" s="48">
        <f t="shared" si="166"/>
        <v>0</v>
      </c>
      <c r="AP75" s="48">
        <f t="shared" si="167"/>
        <v>0</v>
      </c>
      <c r="AQ75" s="48">
        <f t="shared" si="168"/>
        <v>0</v>
      </c>
      <c r="AR75" s="48">
        <f t="shared" si="169"/>
        <v>0</v>
      </c>
      <c r="AS75" s="48">
        <f t="shared" si="170"/>
        <v>0</v>
      </c>
      <c r="AT75" s="48">
        <f t="shared" si="171"/>
        <v>0</v>
      </c>
      <c r="AU75" s="48">
        <f t="shared" si="172"/>
        <v>0</v>
      </c>
      <c r="AV75" s="48">
        <f t="shared" si="173"/>
        <v>0</v>
      </c>
      <c r="AW75" s="48">
        <f t="shared" si="174"/>
        <v>0</v>
      </c>
      <c r="AX75" s="48">
        <f t="shared" si="175"/>
        <v>0</v>
      </c>
      <c r="AY75" s="48">
        <f t="shared" si="176"/>
        <v>0</v>
      </c>
      <c r="AZ75" s="48">
        <f t="shared" si="177"/>
        <v>0</v>
      </c>
      <c r="BA75" s="48">
        <f t="shared" si="178"/>
        <v>0</v>
      </c>
      <c r="BB75" s="48">
        <f t="shared" si="179"/>
        <v>0</v>
      </c>
      <c r="BC75" s="48">
        <f t="shared" si="180"/>
        <v>0</v>
      </c>
      <c r="BD75" s="48">
        <f t="shared" si="181"/>
        <v>0</v>
      </c>
      <c r="BE75" s="48">
        <f t="shared" si="182"/>
        <v>0</v>
      </c>
      <c r="BF75" s="48">
        <f t="shared" si="183"/>
        <v>0</v>
      </c>
      <c r="BG75" s="48">
        <f t="shared" si="184"/>
        <v>0</v>
      </c>
      <c r="BH75" s="48">
        <f t="shared" si="185"/>
        <v>0</v>
      </c>
      <c r="BI75" s="48">
        <f t="shared" si="186"/>
        <v>0</v>
      </c>
      <c r="BJ75" s="48">
        <f t="shared" si="187"/>
        <v>0</v>
      </c>
      <c r="BK75" s="48">
        <f t="shared" si="188"/>
        <v>0</v>
      </c>
      <c r="BL75" s="48">
        <f t="shared" si="189"/>
        <v>0</v>
      </c>
      <c r="BM75" s="48">
        <f t="shared" si="190"/>
        <v>0</v>
      </c>
      <c r="BN75" s="48">
        <f t="shared" si="191"/>
        <v>0</v>
      </c>
      <c r="BO75" s="48">
        <f t="shared" si="192"/>
        <v>0</v>
      </c>
      <c r="BP75" s="48">
        <f t="shared" si="193"/>
        <v>0</v>
      </c>
      <c r="BQ75" s="48">
        <f t="shared" si="194"/>
        <v>0</v>
      </c>
      <c r="BR75" s="48">
        <f t="shared" si="195"/>
        <v>0</v>
      </c>
      <c r="BS75" s="48">
        <f t="shared" si="196"/>
        <v>0</v>
      </c>
      <c r="BT75" s="48">
        <f t="shared" si="197"/>
        <v>0</v>
      </c>
      <c r="BU75" s="48">
        <f t="shared" si="198"/>
        <v>0</v>
      </c>
      <c r="BV75" s="48">
        <f t="shared" si="199"/>
        <v>0</v>
      </c>
      <c r="BW75" s="48">
        <f t="shared" si="200"/>
        <v>0</v>
      </c>
      <c r="BX75" s="48">
        <f t="shared" si="201"/>
        <v>0</v>
      </c>
      <c r="BY75" s="48">
        <f t="shared" si="202"/>
        <v>0</v>
      </c>
      <c r="BZ75" s="48">
        <f t="shared" si="203"/>
        <v>0</v>
      </c>
      <c r="CA75" s="48">
        <f t="shared" si="204"/>
        <v>0</v>
      </c>
      <c r="CB75" s="48">
        <f t="shared" si="205"/>
        <v>0</v>
      </c>
      <c r="CC75" s="48">
        <f t="shared" si="206"/>
        <v>0</v>
      </c>
      <c r="CD75" s="48">
        <f t="shared" si="207"/>
        <v>0</v>
      </c>
      <c r="CE75" s="48">
        <f t="shared" si="208"/>
        <v>0</v>
      </c>
      <c r="CF75" s="48">
        <f t="shared" si="209"/>
        <v>0</v>
      </c>
      <c r="CG75" s="48">
        <f t="shared" si="210"/>
        <v>0</v>
      </c>
      <c r="CH75" s="48">
        <f t="shared" si="211"/>
        <v>0</v>
      </c>
      <c r="CI75" s="48">
        <f t="shared" si="212"/>
        <v>0</v>
      </c>
      <c r="CJ75" s="48">
        <f t="shared" si="213"/>
        <v>0</v>
      </c>
      <c r="CK75" s="48">
        <f t="shared" si="214"/>
        <v>0</v>
      </c>
      <c r="CL75" s="48">
        <f t="shared" si="215"/>
        <v>0</v>
      </c>
      <c r="CM75" s="48">
        <f t="shared" si="216"/>
        <v>0</v>
      </c>
      <c r="CN75" s="48">
        <f t="shared" si="217"/>
        <v>0</v>
      </c>
      <c r="CO75" s="48">
        <f t="shared" si="218"/>
        <v>0</v>
      </c>
      <c r="CP75" s="48">
        <f t="shared" si="219"/>
        <v>0</v>
      </c>
      <c r="CQ75" s="48">
        <f t="shared" si="220"/>
        <v>0</v>
      </c>
      <c r="CR75" s="48">
        <f t="shared" si="221"/>
        <v>0</v>
      </c>
      <c r="CS75" s="48">
        <f t="shared" si="222"/>
        <v>0</v>
      </c>
      <c r="CT75" s="48">
        <f t="shared" si="223"/>
        <v>0</v>
      </c>
      <c r="CU75" s="48">
        <f t="shared" si="224"/>
        <v>0</v>
      </c>
      <c r="CV75" s="48">
        <f t="shared" si="225"/>
        <v>0</v>
      </c>
      <c r="CW75" s="48">
        <f t="shared" si="226"/>
        <v>0</v>
      </c>
      <c r="CX75" s="48">
        <f t="shared" si="227"/>
        <v>0</v>
      </c>
      <c r="CY75" s="48">
        <f t="shared" si="228"/>
        <v>0</v>
      </c>
      <c r="CZ75" s="48">
        <f t="shared" si="229"/>
        <v>0</v>
      </c>
      <c r="DA75" s="48">
        <f t="shared" si="230"/>
        <v>0</v>
      </c>
      <c r="DB75" s="48">
        <f t="shared" si="231"/>
        <v>0</v>
      </c>
      <c r="DC75" s="48">
        <f t="shared" si="232"/>
        <v>0</v>
      </c>
      <c r="DD75" s="48">
        <f t="shared" si="233"/>
        <v>0</v>
      </c>
      <c r="DE75" s="48">
        <f t="shared" si="234"/>
        <v>0</v>
      </c>
      <c r="DF75" s="48">
        <f t="shared" si="235"/>
        <v>0</v>
      </c>
      <c r="DG75" s="48">
        <f t="shared" si="236"/>
        <v>0</v>
      </c>
      <c r="DH75" s="48">
        <f t="shared" si="237"/>
        <v>0</v>
      </c>
      <c r="DI75" s="48">
        <f t="shared" si="238"/>
        <v>0</v>
      </c>
      <c r="DJ75" s="48">
        <f t="shared" si="239"/>
        <v>0</v>
      </c>
      <c r="DK75" s="48">
        <f t="shared" si="240"/>
        <v>0</v>
      </c>
      <c r="DL75" s="48">
        <f t="shared" si="241"/>
        <v>0</v>
      </c>
      <c r="DM75" s="48">
        <f t="shared" si="242"/>
        <v>0</v>
      </c>
      <c r="DN75" s="48">
        <f t="shared" si="243"/>
        <v>0</v>
      </c>
      <c r="DO75" s="48">
        <f t="shared" si="244"/>
        <v>0</v>
      </c>
      <c r="DP75" s="48">
        <f t="shared" si="245"/>
        <v>0</v>
      </c>
      <c r="DQ75" s="48">
        <f t="shared" si="246"/>
        <v>0</v>
      </c>
      <c r="DR75" s="48">
        <f t="shared" si="247"/>
        <v>0</v>
      </c>
      <c r="DS75" s="48">
        <f t="shared" si="248"/>
        <v>0</v>
      </c>
      <c r="DT75" s="48">
        <f t="shared" si="249"/>
        <v>0</v>
      </c>
      <c r="DU75" s="48">
        <f t="shared" si="250"/>
        <v>0</v>
      </c>
      <c r="DV75" s="48">
        <f t="shared" si="251"/>
        <v>0</v>
      </c>
      <c r="DW75" s="48">
        <f t="shared" si="252"/>
        <v>0</v>
      </c>
      <c r="DX75" s="48">
        <f t="shared" si="253"/>
        <v>0</v>
      </c>
      <c r="DY75" s="48">
        <f t="shared" si="254"/>
        <v>0</v>
      </c>
      <c r="DZ75" s="48">
        <f t="shared" si="255"/>
        <v>0</v>
      </c>
      <c r="EA75" s="48">
        <f t="shared" si="256"/>
        <v>0</v>
      </c>
      <c r="EB75" s="48">
        <f t="shared" si="257"/>
        <v>0</v>
      </c>
      <c r="EC75" s="48">
        <f t="shared" si="258"/>
        <v>0</v>
      </c>
      <c r="ED75" s="48">
        <f t="shared" si="259"/>
        <v>0</v>
      </c>
      <c r="EE75" s="48">
        <f t="shared" si="260"/>
        <v>0</v>
      </c>
      <c r="EF75" s="48">
        <f t="shared" si="261"/>
        <v>0</v>
      </c>
      <c r="EG75" s="48">
        <f t="shared" si="262"/>
        <v>0</v>
      </c>
      <c r="EH75" s="48">
        <f t="shared" si="263"/>
        <v>0</v>
      </c>
      <c r="EI75" s="48">
        <f t="shared" si="264"/>
        <v>0</v>
      </c>
      <c r="EJ75" s="48">
        <f t="shared" si="265"/>
        <v>0</v>
      </c>
      <c r="EK75" s="48">
        <f t="shared" si="266"/>
        <v>0</v>
      </c>
      <c r="EL75" s="48">
        <f t="shared" si="267"/>
        <v>0</v>
      </c>
      <c r="EM75" s="48">
        <f t="shared" si="268"/>
        <v>0</v>
      </c>
      <c r="EN75" s="48">
        <f t="shared" si="269"/>
        <v>0</v>
      </c>
      <c r="EO75" s="48">
        <f t="shared" si="270"/>
        <v>0</v>
      </c>
      <c r="EP75" s="48">
        <f t="shared" si="271"/>
        <v>0</v>
      </c>
      <c r="EQ75" s="48">
        <f t="shared" si="272"/>
        <v>0</v>
      </c>
      <c r="ER75" s="48">
        <f t="shared" si="273"/>
        <v>0</v>
      </c>
      <c r="ES75" s="48">
        <f t="shared" si="274"/>
        <v>0</v>
      </c>
      <c r="ET75" s="48">
        <f t="shared" si="275"/>
        <v>0</v>
      </c>
      <c r="EU75" s="48">
        <f t="shared" si="276"/>
        <v>0</v>
      </c>
      <c r="EV75" s="48">
        <f t="shared" si="277"/>
        <v>0</v>
      </c>
      <c r="EW75" s="48">
        <f t="shared" si="278"/>
        <v>0</v>
      </c>
      <c r="EX75" s="48">
        <f t="shared" si="279"/>
        <v>0</v>
      </c>
      <c r="EY75" s="48">
        <f t="shared" si="280"/>
        <v>0</v>
      </c>
      <c r="EZ75" s="48">
        <f t="shared" si="281"/>
        <v>0</v>
      </c>
      <c r="FA75" s="48">
        <f t="shared" si="282"/>
        <v>0</v>
      </c>
      <c r="FB75" s="48">
        <f t="shared" si="283"/>
        <v>0</v>
      </c>
      <c r="FC75" s="48">
        <f t="shared" si="284"/>
        <v>0</v>
      </c>
      <c r="FD75" s="48">
        <f t="shared" si="285"/>
        <v>0</v>
      </c>
      <c r="FE75" s="48">
        <f t="shared" si="286"/>
        <v>0</v>
      </c>
      <c r="FF75" s="48">
        <f t="shared" si="287"/>
        <v>0</v>
      </c>
      <c r="FG75" s="48">
        <f t="shared" si="288"/>
        <v>0</v>
      </c>
      <c r="FH75" s="48">
        <f t="shared" si="289"/>
        <v>0</v>
      </c>
      <c r="FI75" s="48">
        <f t="shared" si="290"/>
        <v>0</v>
      </c>
      <c r="FJ75" s="48">
        <f t="shared" si="291"/>
        <v>0</v>
      </c>
      <c r="FK75" s="48">
        <f t="shared" si="292"/>
        <v>0</v>
      </c>
      <c r="FL75" s="48">
        <f t="shared" si="293"/>
        <v>0</v>
      </c>
      <c r="FM75" s="48">
        <f t="shared" si="294"/>
        <v>0</v>
      </c>
      <c r="FN75" s="48">
        <f t="shared" si="295"/>
        <v>0</v>
      </c>
      <c r="FO75" s="48">
        <f t="shared" si="296"/>
        <v>0</v>
      </c>
      <c r="FP75" s="48">
        <f t="shared" si="297"/>
        <v>0</v>
      </c>
      <c r="FQ75" s="48">
        <f t="shared" si="298"/>
        <v>0</v>
      </c>
      <c r="FR75" s="48">
        <f t="shared" si="299"/>
        <v>0</v>
      </c>
      <c r="FS75" s="48">
        <f t="shared" si="300"/>
        <v>0</v>
      </c>
      <c r="FT75" s="48">
        <f t="shared" si="301"/>
        <v>0</v>
      </c>
      <c r="FU75" s="48">
        <f t="shared" si="302"/>
        <v>0</v>
      </c>
      <c r="FV75" s="48">
        <f t="shared" si="303"/>
        <v>0</v>
      </c>
      <c r="FW75" s="48">
        <f t="shared" si="304"/>
        <v>0</v>
      </c>
      <c r="FX75" s="48">
        <f t="shared" si="305"/>
        <v>0</v>
      </c>
      <c r="FY75" s="48">
        <f t="shared" si="306"/>
        <v>0</v>
      </c>
      <c r="FZ75" s="48">
        <f t="shared" si="307"/>
        <v>0</v>
      </c>
      <c r="GA75" s="48">
        <f t="shared" si="308"/>
        <v>0</v>
      </c>
      <c r="GB75" s="48">
        <f t="shared" si="309"/>
        <v>0</v>
      </c>
      <c r="GC75" s="48">
        <f t="shared" si="310"/>
        <v>0</v>
      </c>
      <c r="GG75">
        <f t="shared" si="311"/>
        <v>0</v>
      </c>
    </row>
    <row r="76" spans="1:189" x14ac:dyDescent="0.25">
      <c r="A76" s="690"/>
      <c r="B76" s="690"/>
      <c r="C76" s="690"/>
      <c r="D76" s="690"/>
      <c r="E76" s="690"/>
      <c r="F76" s="690"/>
      <c r="G76" s="889"/>
      <c r="H76" s="690"/>
      <c r="I76" s="690"/>
      <c r="J76" s="690"/>
      <c r="K76" s="690"/>
      <c r="L76" s="690"/>
      <c r="M76" s="690"/>
      <c r="N76" s="507" t="str">
        <f t="shared" ref="N76:N139" si="324">IF(ISBLANK(M76),"",LEN(TRIM(M76))-LEN(SUBSTITUTE(TRIM(M76),",",""))+1)</f>
        <v/>
      </c>
      <c r="O76" s="690"/>
      <c r="P76" s="507" t="str">
        <f t="shared" ref="P76:P139" si="325">IF(ISBLANK(O76),"",LEN(TRIM(O76))-LEN(SUBSTITUTE(TRIM(O76),",",""))+1)</f>
        <v/>
      </c>
      <c r="Q76" s="690"/>
      <c r="R76" s="690"/>
      <c r="S76" s="690"/>
      <c r="T76" s="690"/>
      <c r="U76">
        <f t="shared" si="318"/>
        <v>0</v>
      </c>
      <c r="V76">
        <f t="shared" si="319"/>
        <v>0</v>
      </c>
      <c r="X76">
        <f t="shared" si="320"/>
        <v>0</v>
      </c>
      <c r="Y76">
        <f t="shared" si="321"/>
        <v>0</v>
      </c>
      <c r="Z76">
        <f t="shared" si="322"/>
        <v>0</v>
      </c>
      <c r="AA76">
        <f t="shared" si="323"/>
        <v>0</v>
      </c>
      <c r="AB76" s="25"/>
      <c r="AC76" s="25"/>
      <c r="AD76" s="25"/>
      <c r="AF76" s="48" t="s">
        <v>731</v>
      </c>
      <c r="AG76" s="689"/>
      <c r="AH76" s="689"/>
      <c r="AI76" s="48">
        <f t="shared" si="160"/>
        <v>0</v>
      </c>
      <c r="AJ76" s="48">
        <f t="shared" si="161"/>
        <v>0</v>
      </c>
      <c r="AK76" s="48">
        <f t="shared" si="162"/>
        <v>0</v>
      </c>
      <c r="AL76" s="48">
        <f t="shared" si="163"/>
        <v>0</v>
      </c>
      <c r="AM76" s="48">
        <f t="shared" si="164"/>
        <v>0</v>
      </c>
      <c r="AN76" s="48">
        <f t="shared" si="165"/>
        <v>0</v>
      </c>
      <c r="AO76" s="48">
        <f t="shared" si="166"/>
        <v>0</v>
      </c>
      <c r="AP76" s="48">
        <f t="shared" si="167"/>
        <v>0</v>
      </c>
      <c r="AQ76" s="48">
        <f t="shared" si="168"/>
        <v>0</v>
      </c>
      <c r="AR76" s="48">
        <f t="shared" si="169"/>
        <v>0</v>
      </c>
      <c r="AS76" s="48">
        <f t="shared" si="170"/>
        <v>0</v>
      </c>
      <c r="AT76" s="48">
        <f t="shared" si="171"/>
        <v>0</v>
      </c>
      <c r="AU76" s="48">
        <f t="shared" si="172"/>
        <v>0</v>
      </c>
      <c r="AV76" s="48">
        <f t="shared" si="173"/>
        <v>0</v>
      </c>
      <c r="AW76" s="48">
        <f t="shared" si="174"/>
        <v>0</v>
      </c>
      <c r="AX76" s="48">
        <f t="shared" si="175"/>
        <v>0</v>
      </c>
      <c r="AY76" s="48">
        <f t="shared" si="176"/>
        <v>0</v>
      </c>
      <c r="AZ76" s="48">
        <f t="shared" si="177"/>
        <v>0</v>
      </c>
      <c r="BA76" s="48">
        <f t="shared" si="178"/>
        <v>0</v>
      </c>
      <c r="BB76" s="48">
        <f t="shared" si="179"/>
        <v>0</v>
      </c>
      <c r="BC76" s="48">
        <f t="shared" si="180"/>
        <v>0</v>
      </c>
      <c r="BD76" s="48">
        <f t="shared" si="181"/>
        <v>0</v>
      </c>
      <c r="BE76" s="48">
        <f t="shared" si="182"/>
        <v>0</v>
      </c>
      <c r="BF76" s="48">
        <f t="shared" si="183"/>
        <v>0</v>
      </c>
      <c r="BG76" s="48">
        <f t="shared" si="184"/>
        <v>0</v>
      </c>
      <c r="BH76" s="48">
        <f t="shared" si="185"/>
        <v>0</v>
      </c>
      <c r="BI76" s="48">
        <f t="shared" si="186"/>
        <v>0</v>
      </c>
      <c r="BJ76" s="48">
        <f t="shared" si="187"/>
        <v>0</v>
      </c>
      <c r="BK76" s="48">
        <f t="shared" si="188"/>
        <v>0</v>
      </c>
      <c r="BL76" s="48">
        <f t="shared" si="189"/>
        <v>0</v>
      </c>
      <c r="BM76" s="48">
        <f t="shared" si="190"/>
        <v>0</v>
      </c>
      <c r="BN76" s="48">
        <f t="shared" si="191"/>
        <v>0</v>
      </c>
      <c r="BO76" s="48">
        <f t="shared" si="192"/>
        <v>0</v>
      </c>
      <c r="BP76" s="48">
        <f t="shared" si="193"/>
        <v>0</v>
      </c>
      <c r="BQ76" s="48">
        <f t="shared" si="194"/>
        <v>0</v>
      </c>
      <c r="BR76" s="48">
        <f t="shared" si="195"/>
        <v>0</v>
      </c>
      <c r="BS76" s="48">
        <f t="shared" si="196"/>
        <v>0</v>
      </c>
      <c r="BT76" s="48">
        <f t="shared" si="197"/>
        <v>0</v>
      </c>
      <c r="BU76" s="48">
        <f t="shared" si="198"/>
        <v>0</v>
      </c>
      <c r="BV76" s="48">
        <f t="shared" si="199"/>
        <v>0</v>
      </c>
      <c r="BW76" s="48">
        <f t="shared" si="200"/>
        <v>0</v>
      </c>
      <c r="BX76" s="48">
        <f t="shared" si="201"/>
        <v>0</v>
      </c>
      <c r="BY76" s="48">
        <f t="shared" si="202"/>
        <v>0</v>
      </c>
      <c r="BZ76" s="48">
        <f t="shared" si="203"/>
        <v>0</v>
      </c>
      <c r="CA76" s="48">
        <f t="shared" si="204"/>
        <v>0</v>
      </c>
      <c r="CB76" s="48">
        <f t="shared" si="205"/>
        <v>0</v>
      </c>
      <c r="CC76" s="48">
        <f t="shared" si="206"/>
        <v>0</v>
      </c>
      <c r="CD76" s="48">
        <f t="shared" si="207"/>
        <v>0</v>
      </c>
      <c r="CE76" s="48">
        <f t="shared" si="208"/>
        <v>0</v>
      </c>
      <c r="CF76" s="48">
        <f t="shared" si="209"/>
        <v>0</v>
      </c>
      <c r="CG76" s="48">
        <f t="shared" si="210"/>
        <v>0</v>
      </c>
      <c r="CH76" s="48">
        <f t="shared" si="211"/>
        <v>0</v>
      </c>
      <c r="CI76" s="48">
        <f t="shared" si="212"/>
        <v>0</v>
      </c>
      <c r="CJ76" s="48">
        <f t="shared" si="213"/>
        <v>0</v>
      </c>
      <c r="CK76" s="48">
        <f t="shared" si="214"/>
        <v>0</v>
      </c>
      <c r="CL76" s="48">
        <f t="shared" si="215"/>
        <v>0</v>
      </c>
      <c r="CM76" s="48">
        <f t="shared" si="216"/>
        <v>0</v>
      </c>
      <c r="CN76" s="48">
        <f t="shared" si="217"/>
        <v>0</v>
      </c>
      <c r="CO76" s="48">
        <f t="shared" si="218"/>
        <v>0</v>
      </c>
      <c r="CP76" s="48">
        <f t="shared" si="219"/>
        <v>0</v>
      </c>
      <c r="CQ76" s="48">
        <f t="shared" si="220"/>
        <v>0</v>
      </c>
      <c r="CR76" s="48">
        <f t="shared" si="221"/>
        <v>0</v>
      </c>
      <c r="CS76" s="48">
        <f t="shared" si="222"/>
        <v>0</v>
      </c>
      <c r="CT76" s="48">
        <f t="shared" si="223"/>
        <v>0</v>
      </c>
      <c r="CU76" s="48">
        <f t="shared" si="224"/>
        <v>0</v>
      </c>
      <c r="CV76" s="48">
        <f t="shared" si="225"/>
        <v>0</v>
      </c>
      <c r="CW76" s="48">
        <f t="shared" si="226"/>
        <v>0</v>
      </c>
      <c r="CX76" s="48">
        <f t="shared" si="227"/>
        <v>0</v>
      </c>
      <c r="CY76" s="48">
        <f t="shared" si="228"/>
        <v>0</v>
      </c>
      <c r="CZ76" s="48">
        <f t="shared" si="229"/>
        <v>0</v>
      </c>
      <c r="DA76" s="48">
        <f t="shared" si="230"/>
        <v>0</v>
      </c>
      <c r="DB76" s="48">
        <f t="shared" si="231"/>
        <v>0</v>
      </c>
      <c r="DC76" s="48">
        <f t="shared" si="232"/>
        <v>0</v>
      </c>
      <c r="DD76" s="48">
        <f t="shared" si="233"/>
        <v>0</v>
      </c>
      <c r="DE76" s="48">
        <f t="shared" si="234"/>
        <v>0</v>
      </c>
      <c r="DF76" s="48">
        <f t="shared" si="235"/>
        <v>0</v>
      </c>
      <c r="DG76" s="48">
        <f t="shared" si="236"/>
        <v>0</v>
      </c>
      <c r="DH76" s="48">
        <f t="shared" si="237"/>
        <v>0</v>
      </c>
      <c r="DI76" s="48">
        <f t="shared" si="238"/>
        <v>0</v>
      </c>
      <c r="DJ76" s="48">
        <f t="shared" si="239"/>
        <v>0</v>
      </c>
      <c r="DK76" s="48">
        <f t="shared" si="240"/>
        <v>0</v>
      </c>
      <c r="DL76" s="48">
        <f t="shared" si="241"/>
        <v>0</v>
      </c>
      <c r="DM76" s="48">
        <f t="shared" si="242"/>
        <v>0</v>
      </c>
      <c r="DN76" s="48">
        <f t="shared" si="243"/>
        <v>0</v>
      </c>
      <c r="DO76" s="48">
        <f t="shared" si="244"/>
        <v>0</v>
      </c>
      <c r="DP76" s="48">
        <f t="shared" si="245"/>
        <v>0</v>
      </c>
      <c r="DQ76" s="48">
        <f t="shared" si="246"/>
        <v>0</v>
      </c>
      <c r="DR76" s="48">
        <f t="shared" si="247"/>
        <v>0</v>
      </c>
      <c r="DS76" s="48">
        <f t="shared" si="248"/>
        <v>0</v>
      </c>
      <c r="DT76" s="48">
        <f t="shared" si="249"/>
        <v>0</v>
      </c>
      <c r="DU76" s="48">
        <f t="shared" si="250"/>
        <v>0</v>
      </c>
      <c r="DV76" s="48">
        <f t="shared" si="251"/>
        <v>0</v>
      </c>
      <c r="DW76" s="48">
        <f t="shared" si="252"/>
        <v>0</v>
      </c>
      <c r="DX76" s="48">
        <f t="shared" si="253"/>
        <v>0</v>
      </c>
      <c r="DY76" s="48">
        <f t="shared" si="254"/>
        <v>0</v>
      </c>
      <c r="DZ76" s="48">
        <f t="shared" si="255"/>
        <v>0</v>
      </c>
      <c r="EA76" s="48">
        <f t="shared" si="256"/>
        <v>0</v>
      </c>
      <c r="EB76" s="48">
        <f t="shared" si="257"/>
        <v>0</v>
      </c>
      <c r="EC76" s="48">
        <f t="shared" si="258"/>
        <v>0</v>
      </c>
      <c r="ED76" s="48">
        <f t="shared" si="259"/>
        <v>0</v>
      </c>
      <c r="EE76" s="48">
        <f t="shared" si="260"/>
        <v>0</v>
      </c>
      <c r="EF76" s="48">
        <f t="shared" si="261"/>
        <v>0</v>
      </c>
      <c r="EG76" s="48">
        <f t="shared" si="262"/>
        <v>0</v>
      </c>
      <c r="EH76" s="48">
        <f t="shared" si="263"/>
        <v>0</v>
      </c>
      <c r="EI76" s="48">
        <f t="shared" si="264"/>
        <v>0</v>
      </c>
      <c r="EJ76" s="48">
        <f t="shared" si="265"/>
        <v>0</v>
      </c>
      <c r="EK76" s="48">
        <f t="shared" si="266"/>
        <v>0</v>
      </c>
      <c r="EL76" s="48">
        <f t="shared" si="267"/>
        <v>0</v>
      </c>
      <c r="EM76" s="48">
        <f t="shared" si="268"/>
        <v>0</v>
      </c>
      <c r="EN76" s="48">
        <f t="shared" si="269"/>
        <v>0</v>
      </c>
      <c r="EO76" s="48">
        <f t="shared" si="270"/>
        <v>0</v>
      </c>
      <c r="EP76" s="48">
        <f t="shared" si="271"/>
        <v>0</v>
      </c>
      <c r="EQ76" s="48">
        <f t="shared" si="272"/>
        <v>0</v>
      </c>
      <c r="ER76" s="48">
        <f t="shared" si="273"/>
        <v>0</v>
      </c>
      <c r="ES76" s="48">
        <f t="shared" si="274"/>
        <v>0</v>
      </c>
      <c r="ET76" s="48">
        <f t="shared" si="275"/>
        <v>0</v>
      </c>
      <c r="EU76" s="48">
        <f t="shared" si="276"/>
        <v>0</v>
      </c>
      <c r="EV76" s="48">
        <f t="shared" si="277"/>
        <v>0</v>
      </c>
      <c r="EW76" s="48">
        <f t="shared" si="278"/>
        <v>0</v>
      </c>
      <c r="EX76" s="48">
        <f t="shared" si="279"/>
        <v>0</v>
      </c>
      <c r="EY76" s="48">
        <f t="shared" si="280"/>
        <v>0</v>
      </c>
      <c r="EZ76" s="48">
        <f t="shared" si="281"/>
        <v>0</v>
      </c>
      <c r="FA76" s="48">
        <f t="shared" si="282"/>
        <v>0</v>
      </c>
      <c r="FB76" s="48">
        <f t="shared" si="283"/>
        <v>0</v>
      </c>
      <c r="FC76" s="48">
        <f t="shared" si="284"/>
        <v>0</v>
      </c>
      <c r="FD76" s="48">
        <f t="shared" si="285"/>
        <v>0</v>
      </c>
      <c r="FE76" s="48">
        <f t="shared" si="286"/>
        <v>0</v>
      </c>
      <c r="FF76" s="48">
        <f t="shared" si="287"/>
        <v>0</v>
      </c>
      <c r="FG76" s="48">
        <f t="shared" si="288"/>
        <v>0</v>
      </c>
      <c r="FH76" s="48">
        <f t="shared" si="289"/>
        <v>0</v>
      </c>
      <c r="FI76" s="48">
        <f t="shared" si="290"/>
        <v>0</v>
      </c>
      <c r="FJ76" s="48">
        <f t="shared" si="291"/>
        <v>0</v>
      </c>
      <c r="FK76" s="48">
        <f t="shared" si="292"/>
        <v>0</v>
      </c>
      <c r="FL76" s="48">
        <f t="shared" si="293"/>
        <v>0</v>
      </c>
      <c r="FM76" s="48">
        <f t="shared" si="294"/>
        <v>0</v>
      </c>
      <c r="FN76" s="48">
        <f t="shared" si="295"/>
        <v>0</v>
      </c>
      <c r="FO76" s="48">
        <f t="shared" si="296"/>
        <v>0</v>
      </c>
      <c r="FP76" s="48">
        <f t="shared" si="297"/>
        <v>0</v>
      </c>
      <c r="FQ76" s="48">
        <f t="shared" si="298"/>
        <v>0</v>
      </c>
      <c r="FR76" s="48">
        <f t="shared" si="299"/>
        <v>0</v>
      </c>
      <c r="FS76" s="48">
        <f t="shared" si="300"/>
        <v>0</v>
      </c>
      <c r="FT76" s="48">
        <f t="shared" si="301"/>
        <v>0</v>
      </c>
      <c r="FU76" s="48">
        <f t="shared" si="302"/>
        <v>0</v>
      </c>
      <c r="FV76" s="48">
        <f t="shared" si="303"/>
        <v>0</v>
      </c>
      <c r="FW76" s="48">
        <f t="shared" si="304"/>
        <v>0</v>
      </c>
      <c r="FX76" s="48">
        <f t="shared" si="305"/>
        <v>0</v>
      </c>
      <c r="FY76" s="48">
        <f t="shared" si="306"/>
        <v>0</v>
      </c>
      <c r="FZ76" s="48">
        <f t="shared" si="307"/>
        <v>0</v>
      </c>
      <c r="GA76" s="48">
        <f t="shared" si="308"/>
        <v>0</v>
      </c>
      <c r="GB76" s="48">
        <f t="shared" si="309"/>
        <v>0</v>
      </c>
      <c r="GC76" s="48">
        <f t="shared" si="310"/>
        <v>0</v>
      </c>
      <c r="GG76">
        <f t="shared" si="311"/>
        <v>0</v>
      </c>
    </row>
    <row r="77" spans="1:189" x14ac:dyDescent="0.25">
      <c r="A77" s="690"/>
      <c r="B77" s="690"/>
      <c r="C77" s="690"/>
      <c r="D77" s="690"/>
      <c r="E77" s="690"/>
      <c r="F77" s="690"/>
      <c r="G77" s="889"/>
      <c r="H77" s="690"/>
      <c r="I77" s="690"/>
      <c r="J77" s="690"/>
      <c r="K77" s="690"/>
      <c r="L77" s="690"/>
      <c r="M77" s="690"/>
      <c r="N77" s="507" t="str">
        <f t="shared" si="324"/>
        <v/>
      </c>
      <c r="O77" s="690"/>
      <c r="P77" s="507" t="str">
        <f t="shared" si="325"/>
        <v/>
      </c>
      <c r="Q77" s="690"/>
      <c r="R77" s="690"/>
      <c r="S77" s="690"/>
      <c r="T77" s="690"/>
      <c r="U77">
        <f t="shared" si="318"/>
        <v>0</v>
      </c>
      <c r="V77">
        <f t="shared" si="319"/>
        <v>0</v>
      </c>
      <c r="X77">
        <f t="shared" si="320"/>
        <v>0</v>
      </c>
      <c r="Y77">
        <f t="shared" si="321"/>
        <v>0</v>
      </c>
      <c r="Z77">
        <f t="shared" si="322"/>
        <v>0</v>
      </c>
      <c r="AA77">
        <f t="shared" si="323"/>
        <v>0</v>
      </c>
      <c r="AB77" s="25"/>
      <c r="AC77" s="25"/>
      <c r="AD77" s="25"/>
      <c r="AF77" s="48"/>
      <c r="AG77" s="689"/>
      <c r="AH77" s="689"/>
      <c r="AI77" s="689"/>
      <c r="AJ77" s="689"/>
      <c r="AK77" s="689"/>
      <c r="AM77" s="16"/>
      <c r="GF77" t="s">
        <v>732</v>
      </c>
      <c r="GG77">
        <f>SUM(GG10:GG76)</f>
        <v>0</v>
      </c>
    </row>
    <row r="78" spans="1:189" x14ac:dyDescent="0.25">
      <c r="A78" s="690"/>
      <c r="B78" s="690"/>
      <c r="C78" s="690"/>
      <c r="D78" s="690"/>
      <c r="E78" s="690"/>
      <c r="F78" s="690"/>
      <c r="G78" s="889"/>
      <c r="H78" s="690"/>
      <c r="I78" s="690"/>
      <c r="J78" s="690"/>
      <c r="K78" s="690"/>
      <c r="L78" s="690"/>
      <c r="M78" s="690"/>
      <c r="N78" s="507" t="str">
        <f t="shared" si="324"/>
        <v/>
      </c>
      <c r="O78" s="690"/>
      <c r="P78" s="507" t="str">
        <f t="shared" si="325"/>
        <v/>
      </c>
      <c r="Q78" s="690"/>
      <c r="R78" s="690"/>
      <c r="S78" s="690"/>
      <c r="T78" s="690"/>
      <c r="U78">
        <f t="shared" si="318"/>
        <v>0</v>
      </c>
      <c r="V78">
        <f t="shared" si="319"/>
        <v>0</v>
      </c>
      <c r="X78">
        <f t="shared" si="320"/>
        <v>0</v>
      </c>
      <c r="Y78">
        <f t="shared" si="321"/>
        <v>0</v>
      </c>
      <c r="Z78">
        <f t="shared" si="322"/>
        <v>0</v>
      </c>
      <c r="AA78">
        <f t="shared" si="323"/>
        <v>0</v>
      </c>
      <c r="AB78" s="25"/>
      <c r="AC78" s="25"/>
      <c r="AD78" s="25"/>
      <c r="AF78" s="48"/>
      <c r="AG78" s="689"/>
      <c r="AH78" s="689"/>
      <c r="AI78" s="689"/>
      <c r="AJ78" s="689"/>
      <c r="AK78" s="689"/>
      <c r="AM78" s="16"/>
      <c r="GF78" t="s">
        <v>733</v>
      </c>
      <c r="GG78" s="351">
        <f>GG77/67</f>
        <v>0</v>
      </c>
    </row>
    <row r="79" spans="1:189" x14ac:dyDescent="0.25">
      <c r="A79" s="690"/>
      <c r="B79" s="690"/>
      <c r="C79" s="690"/>
      <c r="D79" s="690"/>
      <c r="E79" s="690"/>
      <c r="F79" s="690"/>
      <c r="G79" s="889"/>
      <c r="H79" s="690"/>
      <c r="I79" s="690"/>
      <c r="J79" s="690"/>
      <c r="K79" s="690"/>
      <c r="L79" s="690"/>
      <c r="M79" s="690"/>
      <c r="N79" s="507" t="str">
        <f t="shared" si="324"/>
        <v/>
      </c>
      <c r="O79" s="690"/>
      <c r="P79" s="507" t="str">
        <f t="shared" si="325"/>
        <v/>
      </c>
      <c r="Q79" s="690"/>
      <c r="R79" s="690"/>
      <c r="S79" s="690"/>
      <c r="T79" s="690"/>
      <c r="U79">
        <f t="shared" si="318"/>
        <v>0</v>
      </c>
      <c r="V79">
        <f t="shared" si="319"/>
        <v>0</v>
      </c>
      <c r="X79">
        <f t="shared" si="320"/>
        <v>0</v>
      </c>
      <c r="Y79">
        <f t="shared" si="321"/>
        <v>0</v>
      </c>
      <c r="Z79">
        <f t="shared" si="322"/>
        <v>0</v>
      </c>
      <c r="AA79">
        <f t="shared" si="323"/>
        <v>0</v>
      </c>
      <c r="AB79" s="25"/>
      <c r="AC79" s="25"/>
      <c r="AD79" s="25"/>
      <c r="AF79" s="48"/>
      <c r="AG79" s="689"/>
      <c r="AH79" s="689"/>
      <c r="AI79" s="689"/>
      <c r="AJ79" s="689"/>
      <c r="AK79" s="689"/>
      <c r="AM79" s="16"/>
    </row>
    <row r="80" spans="1:189" x14ac:dyDescent="0.25">
      <c r="A80" s="690"/>
      <c r="B80" s="690"/>
      <c r="C80" s="690"/>
      <c r="D80" s="690"/>
      <c r="E80" s="690"/>
      <c r="F80" s="690"/>
      <c r="G80" s="889"/>
      <c r="H80" s="690"/>
      <c r="I80" s="690"/>
      <c r="J80" s="690"/>
      <c r="K80" s="690"/>
      <c r="L80" s="690"/>
      <c r="M80" s="690"/>
      <c r="N80" s="507" t="str">
        <f t="shared" si="324"/>
        <v/>
      </c>
      <c r="O80" s="690"/>
      <c r="P80" s="507" t="str">
        <f t="shared" si="325"/>
        <v/>
      </c>
      <c r="Q80" s="690"/>
      <c r="R80" s="690"/>
      <c r="S80" s="690"/>
      <c r="T80" s="690"/>
      <c r="U80">
        <f t="shared" si="318"/>
        <v>0</v>
      </c>
      <c r="V80">
        <f t="shared" si="319"/>
        <v>0</v>
      </c>
      <c r="X80">
        <f t="shared" si="320"/>
        <v>0</v>
      </c>
      <c r="Y80">
        <f t="shared" si="321"/>
        <v>0</v>
      </c>
      <c r="Z80">
        <f t="shared" si="322"/>
        <v>0</v>
      </c>
      <c r="AA80">
        <f t="shared" si="323"/>
        <v>0</v>
      </c>
      <c r="AB80" s="25"/>
      <c r="AC80" s="25"/>
      <c r="AD80" s="25"/>
      <c r="AF80" s="48" t="s">
        <v>734</v>
      </c>
      <c r="AG80" s="689"/>
      <c r="AH80" s="689"/>
      <c r="AI80" s="418" t="s">
        <v>478</v>
      </c>
      <c r="AJ80" s="418" t="s">
        <v>479</v>
      </c>
      <c r="AK80" s="418" t="s">
        <v>480</v>
      </c>
      <c r="AL80" s="418" t="s">
        <v>481</v>
      </c>
      <c r="AM80" s="418" t="s">
        <v>482</v>
      </c>
      <c r="AN80" s="418" t="s">
        <v>483</v>
      </c>
      <c r="AO80" s="418" t="s">
        <v>484</v>
      </c>
      <c r="AP80" s="418" t="s">
        <v>485</v>
      </c>
      <c r="AQ80" s="418" t="s">
        <v>486</v>
      </c>
      <c r="AR80" s="418" t="s">
        <v>487</v>
      </c>
      <c r="AS80" s="418" t="s">
        <v>488</v>
      </c>
      <c r="AT80" s="418" t="s">
        <v>489</v>
      </c>
      <c r="AU80" s="418" t="s">
        <v>490</v>
      </c>
      <c r="AV80" s="418" t="s">
        <v>491</v>
      </c>
      <c r="AW80" s="418" t="s">
        <v>492</v>
      </c>
      <c r="AX80" s="418" t="s">
        <v>493</v>
      </c>
      <c r="AY80" s="418" t="s">
        <v>494</v>
      </c>
      <c r="AZ80" s="418" t="s">
        <v>495</v>
      </c>
      <c r="BA80" s="418" t="s">
        <v>496</v>
      </c>
      <c r="BB80" s="418" t="s">
        <v>497</v>
      </c>
      <c r="BC80" s="418" t="s">
        <v>498</v>
      </c>
      <c r="BD80" s="418" t="s">
        <v>499</v>
      </c>
      <c r="BE80" s="418" t="s">
        <v>500</v>
      </c>
      <c r="BF80" s="418" t="s">
        <v>501</v>
      </c>
      <c r="BG80" s="418" t="s">
        <v>502</v>
      </c>
      <c r="BH80" s="418" t="s">
        <v>503</v>
      </c>
      <c r="BI80" s="418" t="s">
        <v>504</v>
      </c>
      <c r="BJ80" s="418" t="s">
        <v>505</v>
      </c>
      <c r="BK80" s="418" t="s">
        <v>506</v>
      </c>
      <c r="BL80" s="418" t="s">
        <v>507</v>
      </c>
      <c r="BM80" s="418" t="s">
        <v>508</v>
      </c>
      <c r="BN80" s="418" t="s">
        <v>509</v>
      </c>
      <c r="BO80" s="418" t="s">
        <v>510</v>
      </c>
      <c r="BP80" s="418" t="s">
        <v>511</v>
      </c>
      <c r="BQ80" s="418" t="s">
        <v>512</v>
      </c>
      <c r="BR80" s="418" t="s">
        <v>513</v>
      </c>
      <c r="BS80" s="418" t="s">
        <v>514</v>
      </c>
      <c r="BT80" s="418" t="s">
        <v>515</v>
      </c>
      <c r="BU80" s="418" t="s">
        <v>516</v>
      </c>
      <c r="BV80" s="418" t="s">
        <v>517</v>
      </c>
      <c r="BW80" s="418" t="s">
        <v>518</v>
      </c>
      <c r="BX80" s="418" t="s">
        <v>519</v>
      </c>
      <c r="BY80" s="418" t="s">
        <v>520</v>
      </c>
      <c r="BZ80" s="418" t="s">
        <v>521</v>
      </c>
      <c r="CA80" s="418" t="s">
        <v>522</v>
      </c>
      <c r="CB80" s="418" t="s">
        <v>523</v>
      </c>
      <c r="CC80" s="418" t="s">
        <v>524</v>
      </c>
      <c r="CD80" s="418" t="s">
        <v>525</v>
      </c>
      <c r="CE80" s="418" t="s">
        <v>526</v>
      </c>
      <c r="CF80" s="418" t="s">
        <v>527</v>
      </c>
      <c r="CG80" s="418" t="s">
        <v>528</v>
      </c>
      <c r="CH80" s="418" t="s">
        <v>529</v>
      </c>
      <c r="CI80" s="418" t="s">
        <v>530</v>
      </c>
      <c r="CJ80" s="418" t="s">
        <v>531</v>
      </c>
      <c r="CK80" s="418" t="s">
        <v>532</v>
      </c>
      <c r="CL80" s="418" t="s">
        <v>533</v>
      </c>
      <c r="CM80" s="418" t="s">
        <v>534</v>
      </c>
      <c r="CN80" s="418" t="s">
        <v>535</v>
      </c>
      <c r="CO80" s="418" t="s">
        <v>536</v>
      </c>
      <c r="CP80" s="418" t="s">
        <v>537</v>
      </c>
      <c r="CQ80" s="418" t="s">
        <v>538</v>
      </c>
      <c r="CR80" s="418" t="s">
        <v>539</v>
      </c>
      <c r="CS80" s="418" t="s">
        <v>540</v>
      </c>
      <c r="CT80" s="418" t="s">
        <v>541</v>
      </c>
      <c r="CU80" s="418" t="s">
        <v>542</v>
      </c>
      <c r="CV80" s="418" t="s">
        <v>543</v>
      </c>
      <c r="CW80" s="418" t="s">
        <v>544</v>
      </c>
      <c r="CX80" s="418" t="s">
        <v>545</v>
      </c>
      <c r="CY80" s="418" t="s">
        <v>546</v>
      </c>
      <c r="CZ80" s="418" t="s">
        <v>547</v>
      </c>
      <c r="DA80" s="418" t="s">
        <v>548</v>
      </c>
      <c r="DB80" s="418" t="s">
        <v>549</v>
      </c>
      <c r="DC80" s="418" t="s">
        <v>550</v>
      </c>
      <c r="DD80" s="418" t="s">
        <v>551</v>
      </c>
      <c r="DE80" s="418" t="s">
        <v>552</v>
      </c>
      <c r="DF80" s="418" t="s">
        <v>553</v>
      </c>
      <c r="DG80" s="418" t="s">
        <v>554</v>
      </c>
      <c r="DH80" s="418" t="s">
        <v>555</v>
      </c>
      <c r="DI80" s="418" t="s">
        <v>556</v>
      </c>
      <c r="DJ80" s="418" t="s">
        <v>557</v>
      </c>
      <c r="DK80" s="418" t="s">
        <v>558</v>
      </c>
      <c r="DL80" s="418" t="s">
        <v>559</v>
      </c>
      <c r="DM80" s="418" t="s">
        <v>560</v>
      </c>
      <c r="DN80" s="418" t="s">
        <v>561</v>
      </c>
      <c r="DO80" s="418" t="s">
        <v>562</v>
      </c>
      <c r="DP80" s="418" t="s">
        <v>563</v>
      </c>
      <c r="DQ80" s="418" t="s">
        <v>564</v>
      </c>
      <c r="DR80" s="418" t="s">
        <v>565</v>
      </c>
      <c r="DS80" s="418" t="s">
        <v>566</v>
      </c>
      <c r="DT80" s="418" t="s">
        <v>567</v>
      </c>
      <c r="DU80" s="418" t="s">
        <v>568</v>
      </c>
      <c r="DV80" s="418" t="s">
        <v>569</v>
      </c>
      <c r="DW80" s="418" t="s">
        <v>570</v>
      </c>
      <c r="DX80" s="418" t="s">
        <v>571</v>
      </c>
      <c r="DY80" s="418" t="s">
        <v>572</v>
      </c>
      <c r="DZ80" s="418" t="s">
        <v>573</v>
      </c>
      <c r="EA80" s="418" t="s">
        <v>574</v>
      </c>
      <c r="EB80" s="418" t="s">
        <v>575</v>
      </c>
      <c r="EC80" s="418" t="s">
        <v>576</v>
      </c>
      <c r="ED80" s="418" t="s">
        <v>577</v>
      </c>
      <c r="EE80" s="418" t="s">
        <v>578</v>
      </c>
      <c r="EF80" s="418" t="s">
        <v>579</v>
      </c>
      <c r="EG80" s="418" t="s">
        <v>580</v>
      </c>
      <c r="EH80" s="418" t="s">
        <v>581</v>
      </c>
      <c r="EI80" s="418" t="s">
        <v>582</v>
      </c>
      <c r="EJ80" s="418" t="s">
        <v>583</v>
      </c>
      <c r="EK80" s="418" t="s">
        <v>584</v>
      </c>
      <c r="EL80" s="418" t="s">
        <v>585</v>
      </c>
      <c r="EM80" s="418" t="s">
        <v>586</v>
      </c>
      <c r="EN80" s="418" t="s">
        <v>587</v>
      </c>
      <c r="EO80" s="418" t="s">
        <v>588</v>
      </c>
      <c r="EP80" s="418" t="s">
        <v>589</v>
      </c>
      <c r="EQ80" s="418" t="s">
        <v>590</v>
      </c>
      <c r="ER80" s="418" t="s">
        <v>591</v>
      </c>
      <c r="ES80" s="418" t="s">
        <v>592</v>
      </c>
      <c r="ET80" s="418" t="s">
        <v>593</v>
      </c>
      <c r="EU80" s="418" t="s">
        <v>594</v>
      </c>
      <c r="EV80" s="418" t="s">
        <v>595</v>
      </c>
      <c r="EW80" s="418" t="s">
        <v>596</v>
      </c>
      <c r="EX80" s="418" t="s">
        <v>597</v>
      </c>
      <c r="EY80" s="418" t="s">
        <v>598</v>
      </c>
      <c r="EZ80" s="418" t="s">
        <v>599</v>
      </c>
      <c r="FA80" s="418" t="s">
        <v>600</v>
      </c>
      <c r="FB80" s="418" t="s">
        <v>601</v>
      </c>
      <c r="FC80" s="418" t="s">
        <v>602</v>
      </c>
      <c r="FD80" s="418" t="s">
        <v>603</v>
      </c>
      <c r="FE80" s="418" t="s">
        <v>604</v>
      </c>
      <c r="FF80" s="418" t="s">
        <v>605</v>
      </c>
      <c r="FG80" s="418" t="s">
        <v>606</v>
      </c>
      <c r="FH80" s="418" t="s">
        <v>607</v>
      </c>
      <c r="FI80" s="418" t="s">
        <v>608</v>
      </c>
      <c r="FJ80" s="418" t="s">
        <v>609</v>
      </c>
      <c r="FK80" s="418" t="s">
        <v>610</v>
      </c>
      <c r="FL80" s="418" t="s">
        <v>611</v>
      </c>
      <c r="FM80" s="418" t="s">
        <v>612</v>
      </c>
      <c r="FN80" s="418" t="s">
        <v>613</v>
      </c>
      <c r="FO80" s="418" t="s">
        <v>614</v>
      </c>
      <c r="FP80" s="418" t="s">
        <v>615</v>
      </c>
      <c r="FQ80" s="418" t="s">
        <v>616</v>
      </c>
      <c r="FR80" s="418" t="s">
        <v>617</v>
      </c>
      <c r="FS80" s="418" t="s">
        <v>618</v>
      </c>
      <c r="FT80" s="418" t="s">
        <v>619</v>
      </c>
      <c r="FU80" s="418" t="s">
        <v>620</v>
      </c>
      <c r="FV80" s="418" t="s">
        <v>621</v>
      </c>
      <c r="FW80" s="418" t="s">
        <v>622</v>
      </c>
      <c r="FX80" s="418" t="s">
        <v>623</v>
      </c>
      <c r="FY80" s="418" t="s">
        <v>624</v>
      </c>
      <c r="FZ80" s="418" t="s">
        <v>625</v>
      </c>
      <c r="GA80" s="418" t="s">
        <v>626</v>
      </c>
      <c r="GB80" s="418" t="s">
        <v>627</v>
      </c>
      <c r="GC80" s="418" t="s">
        <v>628</v>
      </c>
      <c r="GG80" t="s">
        <v>735</v>
      </c>
    </row>
    <row r="81" spans="1:189" x14ac:dyDescent="0.25">
      <c r="A81" s="690"/>
      <c r="B81" s="690"/>
      <c r="C81" s="690"/>
      <c r="D81" s="690"/>
      <c r="E81" s="690"/>
      <c r="F81" s="690"/>
      <c r="G81" s="889"/>
      <c r="H81" s="690"/>
      <c r="I81" s="690"/>
      <c r="J81" s="690"/>
      <c r="K81" s="690"/>
      <c r="L81" s="690"/>
      <c r="M81" s="690"/>
      <c r="N81" s="507" t="str">
        <f t="shared" si="324"/>
        <v/>
      </c>
      <c r="O81" s="690"/>
      <c r="P81" s="507" t="str">
        <f t="shared" si="325"/>
        <v/>
      </c>
      <c r="Q81" s="690"/>
      <c r="R81" s="690"/>
      <c r="S81" s="690"/>
      <c r="T81" s="690"/>
      <c r="U81">
        <f t="shared" si="318"/>
        <v>0</v>
      </c>
      <c r="V81">
        <f t="shared" si="319"/>
        <v>0</v>
      </c>
      <c r="X81">
        <f t="shared" si="320"/>
        <v>0</v>
      </c>
      <c r="Y81">
        <f t="shared" si="321"/>
        <v>0</v>
      </c>
      <c r="Z81">
        <f t="shared" si="322"/>
        <v>0</v>
      </c>
      <c r="AA81">
        <f t="shared" si="323"/>
        <v>0</v>
      </c>
      <c r="AB81" s="25"/>
      <c r="AC81" s="25"/>
      <c r="AD81" s="25"/>
      <c r="AF81" s="48" t="s">
        <v>656</v>
      </c>
      <c r="AG81" s="689"/>
      <c r="AH81" s="689"/>
      <c r="AI81" s="48">
        <f t="shared" ref="AI81:AI89" si="326">IF(ISNUMBER(SEARCH(AF81,$M$11)),1,0)</f>
        <v>0</v>
      </c>
      <c r="AJ81" s="48">
        <f t="shared" ref="AJ81:AJ89" si="327">IF(ISNUMBER(SEARCH(AF81,$M$12)),1,0)</f>
        <v>0</v>
      </c>
      <c r="AK81" s="48">
        <f t="shared" ref="AK81:AK89" si="328">IF(ISNUMBER(SEARCH($AF81,$M$13)),1,0)</f>
        <v>0</v>
      </c>
      <c r="AL81" s="48">
        <f t="shared" ref="AL81:AL89" si="329">IF(ISNUMBER(SEARCH($AF81,$M$14)),1,0)</f>
        <v>0</v>
      </c>
      <c r="AM81" s="48">
        <f t="shared" ref="AM81:AM89" si="330">IF(ISNUMBER(SEARCH($AF81,$M$15)),1,0)</f>
        <v>0</v>
      </c>
      <c r="AN81" s="48">
        <f t="shared" ref="AN81:AN89" si="331">IF(ISNUMBER(SEARCH($AF81,$M$16)),1,0)</f>
        <v>0</v>
      </c>
      <c r="AO81" s="48">
        <f t="shared" ref="AO81:AO89" si="332">IF(ISNUMBER(SEARCH($AF81,$M$17)),1,0)</f>
        <v>0</v>
      </c>
      <c r="AP81" s="48">
        <f t="shared" ref="AP81:AP89" si="333">IF(ISNUMBER(SEARCH($AF81,$M$18)),1,0)</f>
        <v>0</v>
      </c>
      <c r="AQ81" s="48">
        <f t="shared" ref="AQ81:AQ89" si="334">IF(ISNUMBER(SEARCH($AF81,$M$19)),1,0)</f>
        <v>0</v>
      </c>
      <c r="AR81" s="48">
        <f t="shared" ref="AR81:AR89" si="335">IF(ISNUMBER(SEARCH($AF81,$M$20)),1,0)</f>
        <v>0</v>
      </c>
      <c r="AS81" s="48">
        <f t="shared" ref="AS81:AS89" si="336">IF(ISNUMBER(SEARCH($AF81,$M$21)),1,0)</f>
        <v>0</v>
      </c>
      <c r="AT81" s="48">
        <f t="shared" ref="AT81:AT89" si="337">IF(ISNUMBER(SEARCH($AF81,$M$22)),1,0)</f>
        <v>0</v>
      </c>
      <c r="AU81" s="48">
        <f t="shared" ref="AU81:AU89" si="338">IF(ISNUMBER(SEARCH($AF81,$M$23)),1,0)</f>
        <v>0</v>
      </c>
      <c r="AV81" s="48">
        <f t="shared" ref="AV81:AV89" si="339">IF(ISNUMBER(SEARCH($AF81,$M$24)),1,0)</f>
        <v>0</v>
      </c>
      <c r="AW81" s="48">
        <f t="shared" ref="AW81:AW89" si="340">IF(ISNUMBER(SEARCH($AF81,$M$25)),1,0)</f>
        <v>0</v>
      </c>
      <c r="AX81" s="48">
        <f t="shared" ref="AX81:AX89" si="341">IF(ISNUMBER(SEARCH($AF81,$M$26)),1,0)</f>
        <v>0</v>
      </c>
      <c r="AY81" s="48">
        <f t="shared" ref="AY81:AY89" si="342">IF(ISNUMBER(SEARCH($AF81,$M$27)),1,0)</f>
        <v>0</v>
      </c>
      <c r="AZ81" s="48">
        <f t="shared" ref="AZ81:AZ89" si="343">IF(ISNUMBER(SEARCH($AF81,$M$28)),1,0)</f>
        <v>0</v>
      </c>
      <c r="BA81" s="48">
        <f t="shared" ref="BA81:BA89" si="344">IF(ISNUMBER(SEARCH($AF81,$M$29)),1,0)</f>
        <v>0</v>
      </c>
      <c r="BB81" s="48">
        <f t="shared" ref="BB81:BB89" si="345">IF(ISNUMBER(SEARCH($AF81,$M$30)),1,0)</f>
        <v>0</v>
      </c>
      <c r="BC81" s="48">
        <f t="shared" ref="BC81:BC89" si="346">IF(ISNUMBER(SEARCH($AF81,$M$31)),1,0)</f>
        <v>0</v>
      </c>
      <c r="BD81" s="48">
        <f t="shared" ref="BD81:BD89" si="347">IF(ISNUMBER(SEARCH($AF81,$M$32)),1,0)</f>
        <v>0</v>
      </c>
      <c r="BE81" s="48">
        <f t="shared" ref="BE81:BE89" si="348">IF(ISNUMBER(SEARCH($AF81,$M$33)),1,0)</f>
        <v>0</v>
      </c>
      <c r="BF81" s="48">
        <f t="shared" ref="BF81:BF89" si="349">IF(ISNUMBER(SEARCH($AF81,$M$34)),1,0)</f>
        <v>0</v>
      </c>
      <c r="BG81" s="48">
        <f t="shared" ref="BG81:BG89" si="350">IF(ISNUMBER(SEARCH($AF81,$M$35)),1,0)</f>
        <v>0</v>
      </c>
      <c r="BH81" s="48">
        <f t="shared" ref="BH81:BH89" si="351">IF(ISNUMBER(SEARCH($AF81,$M$36)),1,0)</f>
        <v>0</v>
      </c>
      <c r="BI81" s="48">
        <f t="shared" ref="BI81:BI89" si="352">IF(ISNUMBER(SEARCH($AF81,$M$37)),1,0)</f>
        <v>0</v>
      </c>
      <c r="BJ81" s="48">
        <f t="shared" ref="BJ81:BJ89" si="353">IF(ISNUMBER(SEARCH($AF81,$M$38)),1,0)</f>
        <v>0</v>
      </c>
      <c r="BK81" s="48">
        <f t="shared" ref="BK81:BK89" si="354">IF(ISNUMBER(SEARCH($AF81,$M$39)),1,0)</f>
        <v>0</v>
      </c>
      <c r="BL81" s="48">
        <f t="shared" ref="BL81:BL89" si="355">IF(ISNUMBER(SEARCH($AF81,$M$40)),1,0)</f>
        <v>0</v>
      </c>
      <c r="BM81" s="48">
        <f t="shared" ref="BM81:BM89" si="356">IF(ISNUMBER(SEARCH($AF81,$M$41)),1,0)</f>
        <v>0</v>
      </c>
      <c r="BN81" s="48">
        <f t="shared" ref="BN81:BN89" si="357">IF(ISNUMBER(SEARCH($AF81,$M$42)),1,0)</f>
        <v>0</v>
      </c>
      <c r="BO81" s="48">
        <f t="shared" ref="BO81:BO89" si="358">IF(ISNUMBER(SEARCH($AF81,$M$43)),1,0)</f>
        <v>0</v>
      </c>
      <c r="BP81" s="48">
        <f t="shared" ref="BP81:BP89" si="359">IF(ISNUMBER(SEARCH($AF81,$M$44)),1,0)</f>
        <v>0</v>
      </c>
      <c r="BQ81" s="48">
        <f t="shared" ref="BQ81:BQ89" si="360">IF(ISNUMBER(SEARCH($AF81,$M$45)),1,0)</f>
        <v>0</v>
      </c>
      <c r="BR81" s="48">
        <f t="shared" ref="BR81:BR89" si="361">IF(ISNUMBER(SEARCH($AF81,$M$46)),1,0)</f>
        <v>0</v>
      </c>
      <c r="BS81" s="48">
        <f t="shared" ref="BS81:BS89" si="362">IF(ISNUMBER(SEARCH($AF81,$M$47)),1,0)</f>
        <v>0</v>
      </c>
      <c r="BT81" s="48">
        <f t="shared" ref="BT81:BT89" si="363">IF(ISNUMBER(SEARCH($AF81,$M$48)),1,0)</f>
        <v>0</v>
      </c>
      <c r="BU81" s="48">
        <f t="shared" ref="BU81:BU89" si="364">IF(ISNUMBER(SEARCH($AF81,$M$49)),1,0)</f>
        <v>0</v>
      </c>
      <c r="BV81" s="48">
        <f t="shared" ref="BV81:BV89" si="365">IF(ISNUMBER(SEARCH($AF81,$M$50)),1,0)</f>
        <v>0</v>
      </c>
      <c r="BW81" s="48">
        <f t="shared" ref="BW81:BW89" si="366">IF(ISNUMBER(SEARCH($AF81,$M$51)),1,0)</f>
        <v>0</v>
      </c>
      <c r="BX81" s="48">
        <f t="shared" ref="BX81:BX89" si="367">IF(ISNUMBER(SEARCH($AF81,$M$52)),1,0)</f>
        <v>0</v>
      </c>
      <c r="BY81" s="48">
        <f t="shared" ref="BY81:BY89" si="368">IF(ISNUMBER(SEARCH($AF81,$M$53)),1,0)</f>
        <v>0</v>
      </c>
      <c r="BZ81" s="48">
        <f t="shared" ref="BZ81:BZ89" si="369">IF(ISNUMBER(SEARCH($AF81,$M$54)),1,0)</f>
        <v>0</v>
      </c>
      <c r="CA81" s="48">
        <f t="shared" ref="CA81:CA89" si="370">IF(ISNUMBER(SEARCH($AF81,$M$55)),1,0)</f>
        <v>0</v>
      </c>
      <c r="CB81" s="48">
        <f t="shared" ref="CB81:CB89" si="371">IF(ISNUMBER(SEARCH($AF81,$M$56)),1,0)</f>
        <v>0</v>
      </c>
      <c r="CC81" s="48">
        <f t="shared" ref="CC81:CC89" si="372">IF(ISNUMBER(SEARCH($AF81,$M$57)),1,0)</f>
        <v>0</v>
      </c>
      <c r="CD81" s="48">
        <f t="shared" ref="CD81:CD89" si="373">IF(ISNUMBER(SEARCH($AF81,$M$58)),1,0)</f>
        <v>0</v>
      </c>
      <c r="CE81" s="48">
        <f t="shared" ref="CE81:CE89" si="374">IF(ISNUMBER(SEARCH($AF81,$M$59)),1,0)</f>
        <v>0</v>
      </c>
      <c r="CF81" s="48">
        <f t="shared" ref="CF81:CF89" si="375">IF(ISNUMBER(SEARCH($AF81,$M$60)),1,0)</f>
        <v>0</v>
      </c>
      <c r="CG81" s="48">
        <f t="shared" ref="CG81:CG89" si="376">IF(ISNUMBER(SEARCH($AF81,$M$61)),1,0)</f>
        <v>0</v>
      </c>
      <c r="CH81" s="48">
        <f t="shared" ref="CH81:CH89" si="377">IF(ISNUMBER(SEARCH($AF81,$M$62)),1,0)</f>
        <v>0</v>
      </c>
      <c r="CI81" s="48">
        <f t="shared" ref="CI81:CI89" si="378">IF(ISNUMBER(SEARCH($AF81,$M$63)),1,0)</f>
        <v>0</v>
      </c>
      <c r="CJ81" s="48">
        <f t="shared" ref="CJ81:CJ89" si="379">IF(ISNUMBER(SEARCH($AF81,$M$64)),1,0)</f>
        <v>0</v>
      </c>
      <c r="CK81" s="48">
        <f t="shared" ref="CK81:CK89" si="380">IF(ISNUMBER(SEARCH($AF81,$M$65)),1,0)</f>
        <v>0</v>
      </c>
      <c r="CL81" s="48">
        <f t="shared" ref="CL81:CL89" si="381">IF(ISNUMBER(SEARCH($AF81,$M$66)),1,0)</f>
        <v>0</v>
      </c>
      <c r="CM81" s="48">
        <f t="shared" ref="CM81:CM89" si="382">IF(ISNUMBER(SEARCH($AF81,$M$67)),1,0)</f>
        <v>0</v>
      </c>
      <c r="CN81" s="48">
        <f t="shared" ref="CN81:CN89" si="383">IF(ISNUMBER(SEARCH($AF81,$M$68)),1,0)</f>
        <v>0</v>
      </c>
      <c r="CO81" s="48">
        <f t="shared" ref="CO81:CO89" si="384">IF(ISNUMBER(SEARCH($AF81,$M$69)),1,0)</f>
        <v>0</v>
      </c>
      <c r="CP81" s="48">
        <f t="shared" ref="CP81:CP89" si="385">IF(ISNUMBER(SEARCH($AF81,$M$70)),1,0)</f>
        <v>0</v>
      </c>
      <c r="CQ81" s="48">
        <f t="shared" ref="CQ81:CQ89" si="386">IF(ISNUMBER(SEARCH($AF81,$M$71)),1,0)</f>
        <v>0</v>
      </c>
      <c r="CR81" s="48">
        <f t="shared" ref="CR81:CR89" si="387">IF(ISNUMBER(SEARCH($AF81,$M$72)),1,0)</f>
        <v>0</v>
      </c>
      <c r="CS81" s="48">
        <f t="shared" ref="CS81:CS89" si="388">IF(ISNUMBER(SEARCH($AF81,$M$73)),1,0)</f>
        <v>0</v>
      </c>
      <c r="CT81" s="48">
        <f t="shared" ref="CT81:CT89" si="389">IF(ISNUMBER(SEARCH($AF81,$M$74)),1,0)</f>
        <v>0</v>
      </c>
      <c r="CU81" s="48">
        <f t="shared" ref="CU81:CU89" si="390">IF(ISNUMBER(SEARCH($AF81,$M$75)),1,0)</f>
        <v>0</v>
      </c>
      <c r="CV81" s="48">
        <f t="shared" ref="CV81:CV89" si="391">IF(ISNUMBER(SEARCH($AF81,$M$76)),1,0)</f>
        <v>0</v>
      </c>
      <c r="CW81" s="48">
        <f t="shared" ref="CW81:CW89" si="392">IF(ISNUMBER(SEARCH($AF81,$M$77)),1,0)</f>
        <v>0</v>
      </c>
      <c r="CX81" s="48">
        <f t="shared" ref="CX81:CX89" si="393">IF(ISNUMBER(SEARCH($AF81,$M$78)),1,0)</f>
        <v>0</v>
      </c>
      <c r="CY81" s="48">
        <f t="shared" ref="CY81:CY89" si="394">IF(ISNUMBER(SEARCH($AF81,$M$79)),1,0)</f>
        <v>0</v>
      </c>
      <c r="CZ81" s="48">
        <f t="shared" ref="CZ81:CZ89" si="395">IF(ISNUMBER(SEARCH($AF81,$M$80)),1,0)</f>
        <v>0</v>
      </c>
      <c r="DA81" s="48">
        <f t="shared" ref="DA81:DA89" si="396">IF(ISNUMBER(SEARCH($AF81,$M$81)),1,0)</f>
        <v>0</v>
      </c>
      <c r="DB81" s="48">
        <f t="shared" ref="DB81:DB89" si="397">IF(ISNUMBER(SEARCH($AF81,$M$82)),1,0)</f>
        <v>0</v>
      </c>
      <c r="DC81" s="48">
        <f t="shared" ref="DC81:DC89" si="398">IF(ISNUMBER(SEARCH($AF81,$M$83)),1,0)</f>
        <v>0</v>
      </c>
      <c r="DD81" s="48">
        <f t="shared" ref="DD81:DD89" si="399">IF(ISNUMBER(SEARCH($AF81,$M$84)),1,0)</f>
        <v>0</v>
      </c>
      <c r="DE81" s="48">
        <f t="shared" ref="DE81:DE89" si="400">IF(ISNUMBER(SEARCH($AF81,$M$85)),1,0)</f>
        <v>0</v>
      </c>
      <c r="DF81" s="48">
        <f t="shared" ref="DF81:DF89" si="401">IF(ISNUMBER(SEARCH($AF81,$M$86)),1,0)</f>
        <v>0</v>
      </c>
      <c r="DG81" s="48">
        <f t="shared" ref="DG81:DG89" si="402">IF(ISNUMBER(SEARCH($AF81,$M$87)),1,0)</f>
        <v>0</v>
      </c>
      <c r="DH81" s="48">
        <f t="shared" ref="DH81:DH89" si="403">IF(ISNUMBER(SEARCH($AF81,$M$88)),1,0)</f>
        <v>0</v>
      </c>
      <c r="DI81" s="48">
        <f t="shared" ref="DI81:DI89" si="404">IF(ISNUMBER(SEARCH($AF81,$M$89)),1,0)</f>
        <v>0</v>
      </c>
      <c r="DJ81" s="48">
        <f t="shared" ref="DJ81:DJ89" si="405">IF(ISNUMBER(SEARCH($AF81,$M$90)),1,0)</f>
        <v>0</v>
      </c>
      <c r="DK81" s="48">
        <f t="shared" ref="DK81:DK89" si="406">IF(ISNUMBER(SEARCH($AF81,$M$91)),1,0)</f>
        <v>0</v>
      </c>
      <c r="DL81" s="48">
        <f t="shared" ref="DL81:DL89" si="407">IF(ISNUMBER(SEARCH($AF81,$M$92)),1,0)</f>
        <v>0</v>
      </c>
      <c r="DM81" s="48">
        <f t="shared" ref="DM81:DM89" si="408">IF(ISNUMBER(SEARCH($AF81,$M$93)),1,0)</f>
        <v>0</v>
      </c>
      <c r="DN81" s="48">
        <f t="shared" ref="DN81:DN89" si="409">IF(ISNUMBER(SEARCH($AF81,$M$94)),1,0)</f>
        <v>0</v>
      </c>
      <c r="DO81" s="48">
        <f t="shared" ref="DO81:DO89" si="410">IF(ISNUMBER(SEARCH($AF81,$M$95)),1,0)</f>
        <v>0</v>
      </c>
      <c r="DP81" s="48">
        <f t="shared" ref="DP81:DP89" si="411">IF(ISNUMBER(SEARCH($AF81,$M$96)),1,0)</f>
        <v>0</v>
      </c>
      <c r="DQ81" s="48">
        <f t="shared" ref="DQ81:DQ89" si="412">IF(ISNUMBER(SEARCH($AF81,$M$97)),1,0)</f>
        <v>0</v>
      </c>
      <c r="DR81" s="48">
        <f t="shared" ref="DR81:DR89" si="413">IF(ISNUMBER(SEARCH($AF81,$M$98)),1,0)</f>
        <v>0</v>
      </c>
      <c r="DS81" s="48">
        <f t="shared" ref="DS81:DS89" si="414">IF(ISNUMBER(SEARCH($AF81,$M$99)),1,0)</f>
        <v>0</v>
      </c>
      <c r="DT81" s="48">
        <f t="shared" ref="DT81:DT89" si="415">IF(ISNUMBER(SEARCH($AF81,$M$100)),1,0)</f>
        <v>0</v>
      </c>
      <c r="DU81" s="48">
        <f t="shared" ref="DU81:DU89" si="416">IF(ISNUMBER(SEARCH($AF81,$M$101)),1,0)</f>
        <v>0</v>
      </c>
      <c r="DV81" s="48">
        <f t="shared" ref="DV81:DV89" si="417">IF(ISNUMBER(SEARCH($AF81,$M$102)),1,0)</f>
        <v>0</v>
      </c>
      <c r="DW81" s="48">
        <f t="shared" ref="DW81:DW89" si="418">IF(ISNUMBER(SEARCH($AF81,$M$103)),1,0)</f>
        <v>0</v>
      </c>
      <c r="DX81" s="48">
        <f t="shared" ref="DX81:DX89" si="419">IF(ISNUMBER(SEARCH($AF81,$M$104)),1,0)</f>
        <v>0</v>
      </c>
      <c r="DY81" s="48">
        <f t="shared" ref="DY81:DY89" si="420">IF(ISNUMBER(SEARCH($AF81,$M$105)),1,0)</f>
        <v>0</v>
      </c>
      <c r="DZ81" s="48">
        <f t="shared" ref="DZ81:DZ89" si="421">IF(ISNUMBER(SEARCH($AF81,$M$106)),1,0)</f>
        <v>0</v>
      </c>
      <c r="EA81" s="48">
        <f t="shared" ref="EA81:EA89" si="422">IF(ISNUMBER(SEARCH($AF81,$M$107)),1,0)</f>
        <v>0</v>
      </c>
      <c r="EB81" s="48">
        <f t="shared" ref="EB81:EB89" si="423">IF(ISNUMBER(SEARCH($AF81,$M$108)),1,0)</f>
        <v>0</v>
      </c>
      <c r="EC81" s="48">
        <f t="shared" ref="EC81:EC89" si="424">IF(ISNUMBER(SEARCH($AF81,$M$109)),1,0)</f>
        <v>0</v>
      </c>
      <c r="ED81" s="48">
        <f t="shared" ref="ED81:ED89" si="425">IF(ISNUMBER(SEARCH($AF81,$M$110)),1,0)</f>
        <v>0</v>
      </c>
      <c r="EE81" s="48">
        <f t="shared" ref="EE81:EE89" si="426">IF(ISNUMBER(SEARCH($AF81,$M$111)),1,0)</f>
        <v>0</v>
      </c>
      <c r="EF81" s="48">
        <f t="shared" ref="EF81:EF89" si="427">IF(ISNUMBER(SEARCH($AF81,$M$112)),1,0)</f>
        <v>0</v>
      </c>
      <c r="EG81" s="48">
        <f t="shared" ref="EG81:EG89" si="428">IF(ISNUMBER(SEARCH($AF81,$M$113)),1,0)</f>
        <v>0</v>
      </c>
      <c r="EH81" s="48">
        <f t="shared" ref="EH81:EH89" si="429">IF(ISNUMBER(SEARCH($AF81,$M$114)),1,0)</f>
        <v>0</v>
      </c>
      <c r="EI81" s="48">
        <f t="shared" ref="EI81:EI89" si="430">IF(ISNUMBER(SEARCH($AF81,$M$115)),1,0)</f>
        <v>0</v>
      </c>
      <c r="EJ81" s="48">
        <f t="shared" ref="EJ81:EJ89" si="431">IF(ISNUMBER(SEARCH($AF81,$M$116)),1,0)</f>
        <v>0</v>
      </c>
      <c r="EK81" s="48">
        <f t="shared" ref="EK81:EK89" si="432">IF(ISNUMBER(SEARCH($AF81,$M$117)),1,0)</f>
        <v>0</v>
      </c>
      <c r="EL81" s="48">
        <f t="shared" ref="EL81:EL89" si="433">IF(ISNUMBER(SEARCH($AF81,$M$118)),1,0)</f>
        <v>0</v>
      </c>
      <c r="EM81" s="48">
        <f t="shared" ref="EM81:EM89" si="434">IF(ISNUMBER(SEARCH($AF81,$M$119)),1,0)</f>
        <v>0</v>
      </c>
      <c r="EN81" s="48">
        <f t="shared" ref="EN81:EN89" si="435">IF(ISNUMBER(SEARCH($AF81,$M$120)),1,0)</f>
        <v>0</v>
      </c>
      <c r="EO81" s="48">
        <f t="shared" ref="EO81:EO89" si="436">IF(ISNUMBER(SEARCH($AF81,$M$121)),1,0)</f>
        <v>0</v>
      </c>
      <c r="EP81" s="48">
        <f t="shared" ref="EP81:EP89" si="437">IF(ISNUMBER(SEARCH($AF81,$M$122)),1,0)</f>
        <v>0</v>
      </c>
      <c r="EQ81" s="48">
        <f t="shared" ref="EQ81:EQ89" si="438">IF(ISNUMBER(SEARCH($AF81,$M$123)),1,0)</f>
        <v>0</v>
      </c>
      <c r="ER81" s="48">
        <f t="shared" ref="ER81:ER89" si="439">IF(ISNUMBER(SEARCH($AF81,$M$124)),1,0)</f>
        <v>0</v>
      </c>
      <c r="ES81" s="48">
        <f t="shared" ref="ES81:ES89" si="440">IF(ISNUMBER(SEARCH($AF81,$M$125)),1,0)</f>
        <v>0</v>
      </c>
      <c r="ET81" s="48">
        <f t="shared" ref="ET81:ET89" si="441">IF(ISNUMBER(SEARCH($AF81,$M$126)),1,0)</f>
        <v>0</v>
      </c>
      <c r="EU81" s="48">
        <f t="shared" ref="EU81:EU89" si="442">IF(ISNUMBER(SEARCH($AF81,$M$127)),1,0)</f>
        <v>0</v>
      </c>
      <c r="EV81" s="48">
        <f t="shared" ref="EV81:EV89" si="443">IF(ISNUMBER(SEARCH($AF81,$M$128)),1,0)</f>
        <v>0</v>
      </c>
      <c r="EW81" s="48">
        <f t="shared" ref="EW81:EW89" si="444">IF(ISNUMBER(SEARCH($AF81,$M$129)),1,0)</f>
        <v>0</v>
      </c>
      <c r="EX81" s="48">
        <f t="shared" ref="EX81:EX89" si="445">IF(ISNUMBER(SEARCH($AF81,$M$130)),1,0)</f>
        <v>0</v>
      </c>
      <c r="EY81" s="48">
        <f t="shared" ref="EY81:EY89" si="446">IF(ISNUMBER(SEARCH($AF81,$M$131)),1,0)</f>
        <v>0</v>
      </c>
      <c r="EZ81" s="48">
        <f t="shared" ref="EZ81:EZ89" si="447">IF(ISNUMBER(SEARCH($AF81,$M$132)),1,0)</f>
        <v>0</v>
      </c>
      <c r="FA81" s="48">
        <f t="shared" ref="FA81:FA89" si="448">IF(ISNUMBER(SEARCH($AF81,$M$133)),1,0)</f>
        <v>0</v>
      </c>
      <c r="FB81" s="48">
        <f t="shared" ref="FB81:FB89" si="449">IF(ISNUMBER(SEARCH($AF81,$M$134)),1,0)</f>
        <v>0</v>
      </c>
      <c r="FC81" s="48">
        <f t="shared" ref="FC81:FC89" si="450">IF(ISNUMBER(SEARCH($AF81,$M$135)),1,0)</f>
        <v>0</v>
      </c>
      <c r="FD81" s="48">
        <f t="shared" ref="FD81:FD89" si="451">IF(ISNUMBER(SEARCH($AF81,$M$136)),1,0)</f>
        <v>0</v>
      </c>
      <c r="FE81" s="48">
        <f t="shared" ref="FE81:FE89" si="452">IF(ISNUMBER(SEARCH($AF81,$M$137)),1,0)</f>
        <v>0</v>
      </c>
      <c r="FF81" s="48">
        <f t="shared" ref="FF81:FF89" si="453">IF(ISNUMBER(SEARCH($AF81,$M$138)),1,0)</f>
        <v>0</v>
      </c>
      <c r="FG81" s="48">
        <f t="shared" ref="FG81:FG89" si="454">IF(ISNUMBER(SEARCH($AF81,$M$139)),1,0)</f>
        <v>0</v>
      </c>
      <c r="FH81" s="48">
        <f t="shared" ref="FH81:FH89" si="455">IF(ISNUMBER(SEARCH($AF81,$M$140)),1,0)</f>
        <v>0</v>
      </c>
      <c r="FI81" s="48">
        <f t="shared" ref="FI81:FI89" si="456">IF(ISNUMBER(SEARCH($AF81,$M$141)),1,0)</f>
        <v>0</v>
      </c>
      <c r="FJ81" s="48">
        <f t="shared" ref="FJ81:FJ89" si="457">IF(ISNUMBER(SEARCH($AF81,$M$142)),1,0)</f>
        <v>0</v>
      </c>
      <c r="FK81" s="48">
        <f t="shared" ref="FK81:FK89" si="458">IF(ISNUMBER(SEARCH($AF81,$M$143)),1,0)</f>
        <v>0</v>
      </c>
      <c r="FL81" s="48">
        <f t="shared" ref="FL81:FL89" si="459">IF(ISNUMBER(SEARCH($AF81,$M$144)),1,0)</f>
        <v>0</v>
      </c>
      <c r="FM81" s="48">
        <f t="shared" ref="FM81:FM89" si="460">IF(ISNUMBER(SEARCH($AF81,$M$145)),1,0)</f>
        <v>0</v>
      </c>
      <c r="FN81" s="48">
        <f t="shared" ref="FN81:FN89" si="461">IF(ISNUMBER(SEARCH($AF81,$M$146)),1,0)</f>
        <v>0</v>
      </c>
      <c r="FO81" s="48">
        <f t="shared" ref="FO81:FO89" si="462">IF(ISNUMBER(SEARCH($AF81,$M$147)),1,0)</f>
        <v>0</v>
      </c>
      <c r="FP81" s="48">
        <f t="shared" ref="FP81:FP89" si="463">IF(ISNUMBER(SEARCH($AF81,$M$148)),1,0)</f>
        <v>0</v>
      </c>
      <c r="FQ81" s="48">
        <f t="shared" ref="FQ81:FQ89" si="464">IF(ISNUMBER(SEARCH($AF81,$M$149)),1,0)</f>
        <v>0</v>
      </c>
      <c r="FR81" s="48">
        <f t="shared" ref="FR81:FR89" si="465">IF(ISNUMBER(SEARCH($AF81,$M$150)),1,0)</f>
        <v>0</v>
      </c>
      <c r="FS81" s="48">
        <f t="shared" ref="FS81:FS89" si="466">IF(ISNUMBER(SEARCH($AF81,$M$151)),1,0)</f>
        <v>0</v>
      </c>
      <c r="FT81" s="48">
        <f t="shared" ref="FT81:FT89" si="467">IF(ISNUMBER(SEARCH($AF81,$M$152)),1,0)</f>
        <v>0</v>
      </c>
      <c r="FU81" s="48">
        <f t="shared" ref="FU81:FU89" si="468">IF(ISNUMBER(SEARCH($AF81,$M$153)),1,0)</f>
        <v>0</v>
      </c>
      <c r="FV81" s="48">
        <f t="shared" ref="FV81:FV89" si="469">IF(ISNUMBER(SEARCH($AF81,$M$154)),1,0)</f>
        <v>0</v>
      </c>
      <c r="FW81" s="48">
        <f t="shared" ref="FW81:FW89" si="470">IF(ISNUMBER(SEARCH($AF81,$M$155)),1,0)</f>
        <v>0</v>
      </c>
      <c r="FX81" s="48">
        <f t="shared" ref="FX81:FX89" si="471">IF(ISNUMBER(SEARCH($AF81,$M$156)),1,0)</f>
        <v>0</v>
      </c>
      <c r="FY81" s="48">
        <f t="shared" ref="FY81:FY89" si="472">IF(ISNUMBER(SEARCH($AF81,$M$157)),1,0)</f>
        <v>0</v>
      </c>
      <c r="FZ81" s="48">
        <f t="shared" ref="FZ81:FZ89" si="473">IF(ISNUMBER(SEARCH($AF81,$M$158)),1,0)</f>
        <v>0</v>
      </c>
      <c r="GA81" s="48">
        <f t="shared" ref="GA81:GA89" si="474">IF(ISNUMBER(SEARCH($AF81,$M$159)),1,0)</f>
        <v>0</v>
      </c>
      <c r="GB81" s="48">
        <f t="shared" ref="GB81:GB89" si="475">IF(ISNUMBER(SEARCH($AF81,$M$160)),1,0)</f>
        <v>0</v>
      </c>
      <c r="GC81" s="48">
        <f t="shared" ref="GC81:GC89" si="476">IF(ISNUMBER(SEARCH($AF81,$M$161)),1,0)</f>
        <v>0</v>
      </c>
      <c r="GG81">
        <f t="shared" ref="GG81:GG89" si="477">IF(SUM(AI81:GC81)&gt;0, 1, 0)</f>
        <v>0</v>
      </c>
    </row>
    <row r="82" spans="1:189" x14ac:dyDescent="0.25">
      <c r="A82" s="690"/>
      <c r="B82" s="690"/>
      <c r="C82" s="690"/>
      <c r="D82" s="690"/>
      <c r="E82" s="690"/>
      <c r="F82" s="690"/>
      <c r="G82" s="889"/>
      <c r="H82" s="690"/>
      <c r="I82" s="690"/>
      <c r="J82" s="690"/>
      <c r="K82" s="690"/>
      <c r="L82" s="690"/>
      <c r="M82" s="690"/>
      <c r="N82" s="507" t="str">
        <f t="shared" si="324"/>
        <v/>
      </c>
      <c r="O82" s="690"/>
      <c r="P82" s="507" t="str">
        <f t="shared" si="325"/>
        <v/>
      </c>
      <c r="Q82" s="690"/>
      <c r="R82" s="690"/>
      <c r="S82" s="690"/>
      <c r="T82" s="690"/>
      <c r="U82">
        <f t="shared" si="318"/>
        <v>0</v>
      </c>
      <c r="V82">
        <f t="shared" si="319"/>
        <v>0</v>
      </c>
      <c r="X82">
        <f t="shared" si="320"/>
        <v>0</v>
      </c>
      <c r="Y82">
        <f t="shared" si="321"/>
        <v>0</v>
      </c>
      <c r="Z82">
        <f t="shared" si="322"/>
        <v>0</v>
      </c>
      <c r="AA82">
        <f t="shared" si="323"/>
        <v>0</v>
      </c>
      <c r="AB82" s="25"/>
      <c r="AC82" s="25"/>
      <c r="AD82" s="25"/>
      <c r="AF82" s="48" t="s">
        <v>658</v>
      </c>
      <c r="AG82" s="689"/>
      <c r="AH82" s="689"/>
      <c r="AI82" s="48">
        <f t="shared" si="326"/>
        <v>0</v>
      </c>
      <c r="AJ82" s="48">
        <f t="shared" si="327"/>
        <v>0</v>
      </c>
      <c r="AK82" s="48">
        <f t="shared" si="328"/>
        <v>0</v>
      </c>
      <c r="AL82" s="48">
        <f t="shared" si="329"/>
        <v>0</v>
      </c>
      <c r="AM82" s="48">
        <f t="shared" si="330"/>
        <v>0</v>
      </c>
      <c r="AN82" s="48">
        <f t="shared" si="331"/>
        <v>0</v>
      </c>
      <c r="AO82" s="48">
        <f t="shared" si="332"/>
        <v>0</v>
      </c>
      <c r="AP82" s="48">
        <f t="shared" si="333"/>
        <v>0</v>
      </c>
      <c r="AQ82" s="48">
        <f t="shared" si="334"/>
        <v>0</v>
      </c>
      <c r="AR82" s="48">
        <f t="shared" si="335"/>
        <v>0</v>
      </c>
      <c r="AS82" s="48">
        <f t="shared" si="336"/>
        <v>0</v>
      </c>
      <c r="AT82" s="48">
        <f t="shared" si="337"/>
        <v>0</v>
      </c>
      <c r="AU82" s="48">
        <f t="shared" si="338"/>
        <v>0</v>
      </c>
      <c r="AV82" s="48">
        <f t="shared" si="339"/>
        <v>0</v>
      </c>
      <c r="AW82" s="48">
        <f t="shared" si="340"/>
        <v>0</v>
      </c>
      <c r="AX82" s="48">
        <f t="shared" si="341"/>
        <v>0</v>
      </c>
      <c r="AY82" s="48">
        <f t="shared" si="342"/>
        <v>0</v>
      </c>
      <c r="AZ82" s="48">
        <f t="shared" si="343"/>
        <v>0</v>
      </c>
      <c r="BA82" s="48">
        <f t="shared" si="344"/>
        <v>0</v>
      </c>
      <c r="BB82" s="48">
        <f t="shared" si="345"/>
        <v>0</v>
      </c>
      <c r="BC82" s="48">
        <f t="shared" si="346"/>
        <v>0</v>
      </c>
      <c r="BD82" s="48">
        <f t="shared" si="347"/>
        <v>0</v>
      </c>
      <c r="BE82" s="48">
        <f t="shared" si="348"/>
        <v>0</v>
      </c>
      <c r="BF82" s="48">
        <f t="shared" si="349"/>
        <v>0</v>
      </c>
      <c r="BG82" s="48">
        <f t="shared" si="350"/>
        <v>0</v>
      </c>
      <c r="BH82" s="48">
        <f t="shared" si="351"/>
        <v>0</v>
      </c>
      <c r="BI82" s="48">
        <f t="shared" si="352"/>
        <v>0</v>
      </c>
      <c r="BJ82" s="48">
        <f t="shared" si="353"/>
        <v>0</v>
      </c>
      <c r="BK82" s="48">
        <f t="shared" si="354"/>
        <v>0</v>
      </c>
      <c r="BL82" s="48">
        <f t="shared" si="355"/>
        <v>0</v>
      </c>
      <c r="BM82" s="48">
        <f t="shared" si="356"/>
        <v>0</v>
      </c>
      <c r="BN82" s="48">
        <f t="shared" si="357"/>
        <v>0</v>
      </c>
      <c r="BO82" s="48">
        <f t="shared" si="358"/>
        <v>0</v>
      </c>
      <c r="BP82" s="48">
        <f t="shared" si="359"/>
        <v>0</v>
      </c>
      <c r="BQ82" s="48">
        <f t="shared" si="360"/>
        <v>0</v>
      </c>
      <c r="BR82" s="48">
        <f t="shared" si="361"/>
        <v>0</v>
      </c>
      <c r="BS82" s="48">
        <f t="shared" si="362"/>
        <v>0</v>
      </c>
      <c r="BT82" s="48">
        <f t="shared" si="363"/>
        <v>0</v>
      </c>
      <c r="BU82" s="48">
        <f t="shared" si="364"/>
        <v>0</v>
      </c>
      <c r="BV82" s="48">
        <f t="shared" si="365"/>
        <v>0</v>
      </c>
      <c r="BW82" s="48">
        <f t="shared" si="366"/>
        <v>0</v>
      </c>
      <c r="BX82" s="48">
        <f t="shared" si="367"/>
        <v>0</v>
      </c>
      <c r="BY82" s="48">
        <f t="shared" si="368"/>
        <v>0</v>
      </c>
      <c r="BZ82" s="48">
        <f t="shared" si="369"/>
        <v>0</v>
      </c>
      <c r="CA82" s="48">
        <f t="shared" si="370"/>
        <v>0</v>
      </c>
      <c r="CB82" s="48">
        <f t="shared" si="371"/>
        <v>0</v>
      </c>
      <c r="CC82" s="48">
        <f t="shared" si="372"/>
        <v>0</v>
      </c>
      <c r="CD82" s="48">
        <f t="shared" si="373"/>
        <v>0</v>
      </c>
      <c r="CE82" s="48">
        <f t="shared" si="374"/>
        <v>0</v>
      </c>
      <c r="CF82" s="48">
        <f t="shared" si="375"/>
        <v>0</v>
      </c>
      <c r="CG82" s="48">
        <f t="shared" si="376"/>
        <v>0</v>
      </c>
      <c r="CH82" s="48">
        <f t="shared" si="377"/>
        <v>0</v>
      </c>
      <c r="CI82" s="48">
        <f t="shared" si="378"/>
        <v>0</v>
      </c>
      <c r="CJ82" s="48">
        <f t="shared" si="379"/>
        <v>0</v>
      </c>
      <c r="CK82" s="48">
        <f t="shared" si="380"/>
        <v>0</v>
      </c>
      <c r="CL82" s="48">
        <f t="shared" si="381"/>
        <v>0</v>
      </c>
      <c r="CM82" s="48">
        <f t="shared" si="382"/>
        <v>0</v>
      </c>
      <c r="CN82" s="48">
        <f t="shared" si="383"/>
        <v>0</v>
      </c>
      <c r="CO82" s="48">
        <f t="shared" si="384"/>
        <v>0</v>
      </c>
      <c r="CP82" s="48">
        <f t="shared" si="385"/>
        <v>0</v>
      </c>
      <c r="CQ82" s="48">
        <f t="shared" si="386"/>
        <v>0</v>
      </c>
      <c r="CR82" s="48">
        <f t="shared" si="387"/>
        <v>0</v>
      </c>
      <c r="CS82" s="48">
        <f t="shared" si="388"/>
        <v>0</v>
      </c>
      <c r="CT82" s="48">
        <f t="shared" si="389"/>
        <v>0</v>
      </c>
      <c r="CU82" s="48">
        <f t="shared" si="390"/>
        <v>0</v>
      </c>
      <c r="CV82" s="48">
        <f t="shared" si="391"/>
        <v>0</v>
      </c>
      <c r="CW82" s="48">
        <f t="shared" si="392"/>
        <v>0</v>
      </c>
      <c r="CX82" s="48">
        <f t="shared" si="393"/>
        <v>0</v>
      </c>
      <c r="CY82" s="48">
        <f t="shared" si="394"/>
        <v>0</v>
      </c>
      <c r="CZ82" s="48">
        <f t="shared" si="395"/>
        <v>0</v>
      </c>
      <c r="DA82" s="48">
        <f t="shared" si="396"/>
        <v>0</v>
      </c>
      <c r="DB82" s="48">
        <f t="shared" si="397"/>
        <v>0</v>
      </c>
      <c r="DC82" s="48">
        <f t="shared" si="398"/>
        <v>0</v>
      </c>
      <c r="DD82" s="48">
        <f t="shared" si="399"/>
        <v>0</v>
      </c>
      <c r="DE82" s="48">
        <f t="shared" si="400"/>
        <v>0</v>
      </c>
      <c r="DF82" s="48">
        <f t="shared" si="401"/>
        <v>0</v>
      </c>
      <c r="DG82" s="48">
        <f t="shared" si="402"/>
        <v>0</v>
      </c>
      <c r="DH82" s="48">
        <f t="shared" si="403"/>
        <v>0</v>
      </c>
      <c r="DI82" s="48">
        <f t="shared" si="404"/>
        <v>0</v>
      </c>
      <c r="DJ82" s="48">
        <f t="shared" si="405"/>
        <v>0</v>
      </c>
      <c r="DK82" s="48">
        <f t="shared" si="406"/>
        <v>0</v>
      </c>
      <c r="DL82" s="48">
        <f t="shared" si="407"/>
        <v>0</v>
      </c>
      <c r="DM82" s="48">
        <f t="shared" si="408"/>
        <v>0</v>
      </c>
      <c r="DN82" s="48">
        <f t="shared" si="409"/>
        <v>0</v>
      </c>
      <c r="DO82" s="48">
        <f t="shared" si="410"/>
        <v>0</v>
      </c>
      <c r="DP82" s="48">
        <f t="shared" si="411"/>
        <v>0</v>
      </c>
      <c r="DQ82" s="48">
        <f t="shared" si="412"/>
        <v>0</v>
      </c>
      <c r="DR82" s="48">
        <f t="shared" si="413"/>
        <v>0</v>
      </c>
      <c r="DS82" s="48">
        <f t="shared" si="414"/>
        <v>0</v>
      </c>
      <c r="DT82" s="48">
        <f t="shared" si="415"/>
        <v>0</v>
      </c>
      <c r="DU82" s="48">
        <f t="shared" si="416"/>
        <v>0</v>
      </c>
      <c r="DV82" s="48">
        <f t="shared" si="417"/>
        <v>0</v>
      </c>
      <c r="DW82" s="48">
        <f t="shared" si="418"/>
        <v>0</v>
      </c>
      <c r="DX82" s="48">
        <f t="shared" si="419"/>
        <v>0</v>
      </c>
      <c r="DY82" s="48">
        <f t="shared" si="420"/>
        <v>0</v>
      </c>
      <c r="DZ82" s="48">
        <f t="shared" si="421"/>
        <v>0</v>
      </c>
      <c r="EA82" s="48">
        <f t="shared" si="422"/>
        <v>0</v>
      </c>
      <c r="EB82" s="48">
        <f t="shared" si="423"/>
        <v>0</v>
      </c>
      <c r="EC82" s="48">
        <f t="shared" si="424"/>
        <v>0</v>
      </c>
      <c r="ED82" s="48">
        <f t="shared" si="425"/>
        <v>0</v>
      </c>
      <c r="EE82" s="48">
        <f t="shared" si="426"/>
        <v>0</v>
      </c>
      <c r="EF82" s="48">
        <f t="shared" si="427"/>
        <v>0</v>
      </c>
      <c r="EG82" s="48">
        <f t="shared" si="428"/>
        <v>0</v>
      </c>
      <c r="EH82" s="48">
        <f t="shared" si="429"/>
        <v>0</v>
      </c>
      <c r="EI82" s="48">
        <f t="shared" si="430"/>
        <v>0</v>
      </c>
      <c r="EJ82" s="48">
        <f t="shared" si="431"/>
        <v>0</v>
      </c>
      <c r="EK82" s="48">
        <f t="shared" si="432"/>
        <v>0</v>
      </c>
      <c r="EL82" s="48">
        <f t="shared" si="433"/>
        <v>0</v>
      </c>
      <c r="EM82" s="48">
        <f t="shared" si="434"/>
        <v>0</v>
      </c>
      <c r="EN82" s="48">
        <f t="shared" si="435"/>
        <v>0</v>
      </c>
      <c r="EO82" s="48">
        <f t="shared" si="436"/>
        <v>0</v>
      </c>
      <c r="EP82" s="48">
        <f t="shared" si="437"/>
        <v>0</v>
      </c>
      <c r="EQ82" s="48">
        <f t="shared" si="438"/>
        <v>0</v>
      </c>
      <c r="ER82" s="48">
        <f t="shared" si="439"/>
        <v>0</v>
      </c>
      <c r="ES82" s="48">
        <f t="shared" si="440"/>
        <v>0</v>
      </c>
      <c r="ET82" s="48">
        <f t="shared" si="441"/>
        <v>0</v>
      </c>
      <c r="EU82" s="48">
        <f t="shared" si="442"/>
        <v>0</v>
      </c>
      <c r="EV82" s="48">
        <f t="shared" si="443"/>
        <v>0</v>
      </c>
      <c r="EW82" s="48">
        <f t="shared" si="444"/>
        <v>0</v>
      </c>
      <c r="EX82" s="48">
        <f t="shared" si="445"/>
        <v>0</v>
      </c>
      <c r="EY82" s="48">
        <f t="shared" si="446"/>
        <v>0</v>
      </c>
      <c r="EZ82" s="48">
        <f t="shared" si="447"/>
        <v>0</v>
      </c>
      <c r="FA82" s="48">
        <f t="shared" si="448"/>
        <v>0</v>
      </c>
      <c r="FB82" s="48">
        <f t="shared" si="449"/>
        <v>0</v>
      </c>
      <c r="FC82" s="48">
        <f t="shared" si="450"/>
        <v>0</v>
      </c>
      <c r="FD82" s="48">
        <f t="shared" si="451"/>
        <v>0</v>
      </c>
      <c r="FE82" s="48">
        <f t="shared" si="452"/>
        <v>0</v>
      </c>
      <c r="FF82" s="48">
        <f t="shared" si="453"/>
        <v>0</v>
      </c>
      <c r="FG82" s="48">
        <f t="shared" si="454"/>
        <v>0</v>
      </c>
      <c r="FH82" s="48">
        <f t="shared" si="455"/>
        <v>0</v>
      </c>
      <c r="FI82" s="48">
        <f t="shared" si="456"/>
        <v>0</v>
      </c>
      <c r="FJ82" s="48">
        <f t="shared" si="457"/>
        <v>0</v>
      </c>
      <c r="FK82" s="48">
        <f t="shared" si="458"/>
        <v>0</v>
      </c>
      <c r="FL82" s="48">
        <f t="shared" si="459"/>
        <v>0</v>
      </c>
      <c r="FM82" s="48">
        <f t="shared" si="460"/>
        <v>0</v>
      </c>
      <c r="FN82" s="48">
        <f t="shared" si="461"/>
        <v>0</v>
      </c>
      <c r="FO82" s="48">
        <f t="shared" si="462"/>
        <v>0</v>
      </c>
      <c r="FP82" s="48">
        <f t="shared" si="463"/>
        <v>0</v>
      </c>
      <c r="FQ82" s="48">
        <f t="shared" si="464"/>
        <v>0</v>
      </c>
      <c r="FR82" s="48">
        <f t="shared" si="465"/>
        <v>0</v>
      </c>
      <c r="FS82" s="48">
        <f t="shared" si="466"/>
        <v>0</v>
      </c>
      <c r="FT82" s="48">
        <f t="shared" si="467"/>
        <v>0</v>
      </c>
      <c r="FU82" s="48">
        <f t="shared" si="468"/>
        <v>0</v>
      </c>
      <c r="FV82" s="48">
        <f t="shared" si="469"/>
        <v>0</v>
      </c>
      <c r="FW82" s="48">
        <f t="shared" si="470"/>
        <v>0</v>
      </c>
      <c r="FX82" s="48">
        <f t="shared" si="471"/>
        <v>0</v>
      </c>
      <c r="FY82" s="48">
        <f t="shared" si="472"/>
        <v>0</v>
      </c>
      <c r="FZ82" s="48">
        <f t="shared" si="473"/>
        <v>0</v>
      </c>
      <c r="GA82" s="48">
        <f t="shared" si="474"/>
        <v>0</v>
      </c>
      <c r="GB82" s="48">
        <f t="shared" si="475"/>
        <v>0</v>
      </c>
      <c r="GC82" s="48">
        <f t="shared" si="476"/>
        <v>0</v>
      </c>
      <c r="GG82">
        <f t="shared" si="477"/>
        <v>0</v>
      </c>
    </row>
    <row r="83" spans="1:189" x14ac:dyDescent="0.25">
      <c r="A83" s="690"/>
      <c r="B83" s="690"/>
      <c r="C83" s="690"/>
      <c r="D83" s="690"/>
      <c r="E83" s="690"/>
      <c r="F83" s="690"/>
      <c r="G83" s="889"/>
      <c r="H83" s="690"/>
      <c r="I83" s="690"/>
      <c r="J83" s="690"/>
      <c r="K83" s="690"/>
      <c r="L83" s="690"/>
      <c r="M83" s="690"/>
      <c r="N83" s="507" t="str">
        <f t="shared" si="324"/>
        <v/>
      </c>
      <c r="O83" s="690"/>
      <c r="P83" s="507" t="str">
        <f t="shared" si="325"/>
        <v/>
      </c>
      <c r="Q83" s="690"/>
      <c r="R83" s="690"/>
      <c r="S83" s="690"/>
      <c r="T83" s="690"/>
      <c r="U83">
        <f t="shared" si="318"/>
        <v>0</v>
      </c>
      <c r="V83">
        <f t="shared" si="319"/>
        <v>0</v>
      </c>
      <c r="X83">
        <f t="shared" si="320"/>
        <v>0</v>
      </c>
      <c r="Y83">
        <f t="shared" si="321"/>
        <v>0</v>
      </c>
      <c r="Z83">
        <f t="shared" si="322"/>
        <v>0</v>
      </c>
      <c r="AA83">
        <f t="shared" si="323"/>
        <v>0</v>
      </c>
      <c r="AB83" s="25"/>
      <c r="AC83" s="25"/>
      <c r="AD83" s="25"/>
      <c r="AF83" s="48" t="s">
        <v>660</v>
      </c>
      <c r="AG83" s="689"/>
      <c r="AH83" s="689"/>
      <c r="AI83" s="48">
        <f t="shared" si="326"/>
        <v>0</v>
      </c>
      <c r="AJ83" s="48">
        <f t="shared" si="327"/>
        <v>0</v>
      </c>
      <c r="AK83" s="48">
        <f t="shared" si="328"/>
        <v>0</v>
      </c>
      <c r="AL83" s="48">
        <f t="shared" si="329"/>
        <v>0</v>
      </c>
      <c r="AM83" s="48">
        <f t="shared" si="330"/>
        <v>0</v>
      </c>
      <c r="AN83" s="48">
        <f t="shared" si="331"/>
        <v>0</v>
      </c>
      <c r="AO83" s="48">
        <f t="shared" si="332"/>
        <v>0</v>
      </c>
      <c r="AP83" s="48">
        <f t="shared" si="333"/>
        <v>0</v>
      </c>
      <c r="AQ83" s="48">
        <f t="shared" si="334"/>
        <v>0</v>
      </c>
      <c r="AR83" s="48">
        <f t="shared" si="335"/>
        <v>0</v>
      </c>
      <c r="AS83" s="48">
        <f t="shared" si="336"/>
        <v>0</v>
      </c>
      <c r="AT83" s="48">
        <f t="shared" si="337"/>
        <v>0</v>
      </c>
      <c r="AU83" s="48">
        <f t="shared" si="338"/>
        <v>0</v>
      </c>
      <c r="AV83" s="48">
        <f t="shared" si="339"/>
        <v>0</v>
      </c>
      <c r="AW83" s="48">
        <f t="shared" si="340"/>
        <v>0</v>
      </c>
      <c r="AX83" s="48">
        <f t="shared" si="341"/>
        <v>0</v>
      </c>
      <c r="AY83" s="48">
        <f t="shared" si="342"/>
        <v>0</v>
      </c>
      <c r="AZ83" s="48">
        <f t="shared" si="343"/>
        <v>0</v>
      </c>
      <c r="BA83" s="48">
        <f t="shared" si="344"/>
        <v>0</v>
      </c>
      <c r="BB83" s="48">
        <f t="shared" si="345"/>
        <v>0</v>
      </c>
      <c r="BC83" s="48">
        <f t="shared" si="346"/>
        <v>0</v>
      </c>
      <c r="BD83" s="48">
        <f t="shared" si="347"/>
        <v>0</v>
      </c>
      <c r="BE83" s="48">
        <f t="shared" si="348"/>
        <v>0</v>
      </c>
      <c r="BF83" s="48">
        <f t="shared" si="349"/>
        <v>0</v>
      </c>
      <c r="BG83" s="48">
        <f t="shared" si="350"/>
        <v>0</v>
      </c>
      <c r="BH83" s="48">
        <f t="shared" si="351"/>
        <v>0</v>
      </c>
      <c r="BI83" s="48">
        <f t="shared" si="352"/>
        <v>0</v>
      </c>
      <c r="BJ83" s="48">
        <f t="shared" si="353"/>
        <v>0</v>
      </c>
      <c r="BK83" s="48">
        <f t="shared" si="354"/>
        <v>0</v>
      </c>
      <c r="BL83" s="48">
        <f t="shared" si="355"/>
        <v>0</v>
      </c>
      <c r="BM83" s="48">
        <f t="shared" si="356"/>
        <v>0</v>
      </c>
      <c r="BN83" s="48">
        <f t="shared" si="357"/>
        <v>0</v>
      </c>
      <c r="BO83" s="48">
        <f t="shared" si="358"/>
        <v>0</v>
      </c>
      <c r="BP83" s="48">
        <f t="shared" si="359"/>
        <v>0</v>
      </c>
      <c r="BQ83" s="48">
        <f t="shared" si="360"/>
        <v>0</v>
      </c>
      <c r="BR83" s="48">
        <f t="shared" si="361"/>
        <v>0</v>
      </c>
      <c r="BS83" s="48">
        <f t="shared" si="362"/>
        <v>0</v>
      </c>
      <c r="BT83" s="48">
        <f t="shared" si="363"/>
        <v>0</v>
      </c>
      <c r="BU83" s="48">
        <f t="shared" si="364"/>
        <v>0</v>
      </c>
      <c r="BV83" s="48">
        <f t="shared" si="365"/>
        <v>0</v>
      </c>
      <c r="BW83" s="48">
        <f t="shared" si="366"/>
        <v>0</v>
      </c>
      <c r="BX83" s="48">
        <f t="shared" si="367"/>
        <v>0</v>
      </c>
      <c r="BY83" s="48">
        <f t="shared" si="368"/>
        <v>0</v>
      </c>
      <c r="BZ83" s="48">
        <f t="shared" si="369"/>
        <v>0</v>
      </c>
      <c r="CA83" s="48">
        <f t="shared" si="370"/>
        <v>0</v>
      </c>
      <c r="CB83" s="48">
        <f t="shared" si="371"/>
        <v>0</v>
      </c>
      <c r="CC83" s="48">
        <f t="shared" si="372"/>
        <v>0</v>
      </c>
      <c r="CD83" s="48">
        <f t="shared" si="373"/>
        <v>0</v>
      </c>
      <c r="CE83" s="48">
        <f t="shared" si="374"/>
        <v>0</v>
      </c>
      <c r="CF83" s="48">
        <f t="shared" si="375"/>
        <v>0</v>
      </c>
      <c r="CG83" s="48">
        <f t="shared" si="376"/>
        <v>0</v>
      </c>
      <c r="CH83" s="48">
        <f t="shared" si="377"/>
        <v>0</v>
      </c>
      <c r="CI83" s="48">
        <f t="shared" si="378"/>
        <v>0</v>
      </c>
      <c r="CJ83" s="48">
        <f t="shared" si="379"/>
        <v>0</v>
      </c>
      <c r="CK83" s="48">
        <f t="shared" si="380"/>
        <v>0</v>
      </c>
      <c r="CL83" s="48">
        <f t="shared" si="381"/>
        <v>0</v>
      </c>
      <c r="CM83" s="48">
        <f t="shared" si="382"/>
        <v>0</v>
      </c>
      <c r="CN83" s="48">
        <f t="shared" si="383"/>
        <v>0</v>
      </c>
      <c r="CO83" s="48">
        <f t="shared" si="384"/>
        <v>0</v>
      </c>
      <c r="CP83" s="48">
        <f t="shared" si="385"/>
        <v>0</v>
      </c>
      <c r="CQ83" s="48">
        <f t="shared" si="386"/>
        <v>0</v>
      </c>
      <c r="CR83" s="48">
        <f t="shared" si="387"/>
        <v>0</v>
      </c>
      <c r="CS83" s="48">
        <f t="shared" si="388"/>
        <v>0</v>
      </c>
      <c r="CT83" s="48">
        <f t="shared" si="389"/>
        <v>0</v>
      </c>
      <c r="CU83" s="48">
        <f t="shared" si="390"/>
        <v>0</v>
      </c>
      <c r="CV83" s="48">
        <f t="shared" si="391"/>
        <v>0</v>
      </c>
      <c r="CW83" s="48">
        <f t="shared" si="392"/>
        <v>0</v>
      </c>
      <c r="CX83" s="48">
        <f t="shared" si="393"/>
        <v>0</v>
      </c>
      <c r="CY83" s="48">
        <f t="shared" si="394"/>
        <v>0</v>
      </c>
      <c r="CZ83" s="48">
        <f t="shared" si="395"/>
        <v>0</v>
      </c>
      <c r="DA83" s="48">
        <f t="shared" si="396"/>
        <v>0</v>
      </c>
      <c r="DB83" s="48">
        <f t="shared" si="397"/>
        <v>0</v>
      </c>
      <c r="DC83" s="48">
        <f t="shared" si="398"/>
        <v>0</v>
      </c>
      <c r="DD83" s="48">
        <f t="shared" si="399"/>
        <v>0</v>
      </c>
      <c r="DE83" s="48">
        <f t="shared" si="400"/>
        <v>0</v>
      </c>
      <c r="DF83" s="48">
        <f t="shared" si="401"/>
        <v>0</v>
      </c>
      <c r="DG83" s="48">
        <f t="shared" si="402"/>
        <v>0</v>
      </c>
      <c r="DH83" s="48">
        <f t="shared" si="403"/>
        <v>0</v>
      </c>
      <c r="DI83" s="48">
        <f t="shared" si="404"/>
        <v>0</v>
      </c>
      <c r="DJ83" s="48">
        <f t="shared" si="405"/>
        <v>0</v>
      </c>
      <c r="DK83" s="48">
        <f t="shared" si="406"/>
        <v>0</v>
      </c>
      <c r="DL83" s="48">
        <f t="shared" si="407"/>
        <v>0</v>
      </c>
      <c r="DM83" s="48">
        <f t="shared" si="408"/>
        <v>0</v>
      </c>
      <c r="DN83" s="48">
        <f t="shared" si="409"/>
        <v>0</v>
      </c>
      <c r="DO83" s="48">
        <f t="shared" si="410"/>
        <v>0</v>
      </c>
      <c r="DP83" s="48">
        <f t="shared" si="411"/>
        <v>0</v>
      </c>
      <c r="DQ83" s="48">
        <f t="shared" si="412"/>
        <v>0</v>
      </c>
      <c r="DR83" s="48">
        <f t="shared" si="413"/>
        <v>0</v>
      </c>
      <c r="DS83" s="48">
        <f t="shared" si="414"/>
        <v>0</v>
      </c>
      <c r="DT83" s="48">
        <f t="shared" si="415"/>
        <v>0</v>
      </c>
      <c r="DU83" s="48">
        <f t="shared" si="416"/>
        <v>0</v>
      </c>
      <c r="DV83" s="48">
        <f t="shared" si="417"/>
        <v>0</v>
      </c>
      <c r="DW83" s="48">
        <f t="shared" si="418"/>
        <v>0</v>
      </c>
      <c r="DX83" s="48">
        <f t="shared" si="419"/>
        <v>0</v>
      </c>
      <c r="DY83" s="48">
        <f t="shared" si="420"/>
        <v>0</v>
      </c>
      <c r="DZ83" s="48">
        <f t="shared" si="421"/>
        <v>0</v>
      </c>
      <c r="EA83" s="48">
        <f t="shared" si="422"/>
        <v>0</v>
      </c>
      <c r="EB83" s="48">
        <f t="shared" si="423"/>
        <v>0</v>
      </c>
      <c r="EC83" s="48">
        <f t="shared" si="424"/>
        <v>0</v>
      </c>
      <c r="ED83" s="48">
        <f t="shared" si="425"/>
        <v>0</v>
      </c>
      <c r="EE83" s="48">
        <f t="shared" si="426"/>
        <v>0</v>
      </c>
      <c r="EF83" s="48">
        <f t="shared" si="427"/>
        <v>0</v>
      </c>
      <c r="EG83" s="48">
        <f t="shared" si="428"/>
        <v>0</v>
      </c>
      <c r="EH83" s="48">
        <f t="shared" si="429"/>
        <v>0</v>
      </c>
      <c r="EI83" s="48">
        <f t="shared" si="430"/>
        <v>0</v>
      </c>
      <c r="EJ83" s="48">
        <f t="shared" si="431"/>
        <v>0</v>
      </c>
      <c r="EK83" s="48">
        <f t="shared" si="432"/>
        <v>0</v>
      </c>
      <c r="EL83" s="48">
        <f t="shared" si="433"/>
        <v>0</v>
      </c>
      <c r="EM83" s="48">
        <f t="shared" si="434"/>
        <v>0</v>
      </c>
      <c r="EN83" s="48">
        <f t="shared" si="435"/>
        <v>0</v>
      </c>
      <c r="EO83" s="48">
        <f t="shared" si="436"/>
        <v>0</v>
      </c>
      <c r="EP83" s="48">
        <f t="shared" si="437"/>
        <v>0</v>
      </c>
      <c r="EQ83" s="48">
        <f t="shared" si="438"/>
        <v>0</v>
      </c>
      <c r="ER83" s="48">
        <f t="shared" si="439"/>
        <v>0</v>
      </c>
      <c r="ES83" s="48">
        <f t="shared" si="440"/>
        <v>0</v>
      </c>
      <c r="ET83" s="48">
        <f t="shared" si="441"/>
        <v>0</v>
      </c>
      <c r="EU83" s="48">
        <f t="shared" si="442"/>
        <v>0</v>
      </c>
      <c r="EV83" s="48">
        <f t="shared" si="443"/>
        <v>0</v>
      </c>
      <c r="EW83" s="48">
        <f t="shared" si="444"/>
        <v>0</v>
      </c>
      <c r="EX83" s="48">
        <f t="shared" si="445"/>
        <v>0</v>
      </c>
      <c r="EY83" s="48">
        <f t="shared" si="446"/>
        <v>0</v>
      </c>
      <c r="EZ83" s="48">
        <f t="shared" si="447"/>
        <v>0</v>
      </c>
      <c r="FA83" s="48">
        <f t="shared" si="448"/>
        <v>0</v>
      </c>
      <c r="FB83" s="48">
        <f t="shared" si="449"/>
        <v>0</v>
      </c>
      <c r="FC83" s="48">
        <f t="shared" si="450"/>
        <v>0</v>
      </c>
      <c r="FD83" s="48">
        <f t="shared" si="451"/>
        <v>0</v>
      </c>
      <c r="FE83" s="48">
        <f t="shared" si="452"/>
        <v>0</v>
      </c>
      <c r="FF83" s="48">
        <f t="shared" si="453"/>
        <v>0</v>
      </c>
      <c r="FG83" s="48">
        <f t="shared" si="454"/>
        <v>0</v>
      </c>
      <c r="FH83" s="48">
        <f t="shared" si="455"/>
        <v>0</v>
      </c>
      <c r="FI83" s="48">
        <f t="shared" si="456"/>
        <v>0</v>
      </c>
      <c r="FJ83" s="48">
        <f t="shared" si="457"/>
        <v>0</v>
      </c>
      <c r="FK83" s="48">
        <f t="shared" si="458"/>
        <v>0</v>
      </c>
      <c r="FL83" s="48">
        <f t="shared" si="459"/>
        <v>0</v>
      </c>
      <c r="FM83" s="48">
        <f t="shared" si="460"/>
        <v>0</v>
      </c>
      <c r="FN83" s="48">
        <f t="shared" si="461"/>
        <v>0</v>
      </c>
      <c r="FO83" s="48">
        <f t="shared" si="462"/>
        <v>0</v>
      </c>
      <c r="FP83" s="48">
        <f t="shared" si="463"/>
        <v>0</v>
      </c>
      <c r="FQ83" s="48">
        <f t="shared" si="464"/>
        <v>0</v>
      </c>
      <c r="FR83" s="48">
        <f t="shared" si="465"/>
        <v>0</v>
      </c>
      <c r="FS83" s="48">
        <f t="shared" si="466"/>
        <v>0</v>
      </c>
      <c r="FT83" s="48">
        <f t="shared" si="467"/>
        <v>0</v>
      </c>
      <c r="FU83" s="48">
        <f t="shared" si="468"/>
        <v>0</v>
      </c>
      <c r="FV83" s="48">
        <f t="shared" si="469"/>
        <v>0</v>
      </c>
      <c r="FW83" s="48">
        <f t="shared" si="470"/>
        <v>0</v>
      </c>
      <c r="FX83" s="48">
        <f t="shared" si="471"/>
        <v>0</v>
      </c>
      <c r="FY83" s="48">
        <f t="shared" si="472"/>
        <v>0</v>
      </c>
      <c r="FZ83" s="48">
        <f t="shared" si="473"/>
        <v>0</v>
      </c>
      <c r="GA83" s="48">
        <f t="shared" si="474"/>
        <v>0</v>
      </c>
      <c r="GB83" s="48">
        <f t="shared" si="475"/>
        <v>0</v>
      </c>
      <c r="GC83" s="48">
        <f t="shared" si="476"/>
        <v>0</v>
      </c>
      <c r="GG83">
        <f t="shared" si="477"/>
        <v>0</v>
      </c>
    </row>
    <row r="84" spans="1:189" x14ac:dyDescent="0.25">
      <c r="A84" s="690"/>
      <c r="B84" s="690"/>
      <c r="C84" s="690"/>
      <c r="D84" s="690"/>
      <c r="E84" s="690"/>
      <c r="F84" s="690"/>
      <c r="G84" s="889"/>
      <c r="H84" s="690"/>
      <c r="I84" s="690"/>
      <c r="J84" s="690"/>
      <c r="K84" s="690"/>
      <c r="L84" s="690"/>
      <c r="M84" s="690"/>
      <c r="N84" s="507" t="str">
        <f t="shared" si="324"/>
        <v/>
      </c>
      <c r="O84" s="690"/>
      <c r="P84" s="507" t="str">
        <f t="shared" si="325"/>
        <v/>
      </c>
      <c r="Q84" s="690"/>
      <c r="R84" s="690"/>
      <c r="S84" s="690"/>
      <c r="T84" s="690"/>
      <c r="U84">
        <f t="shared" si="318"/>
        <v>0</v>
      </c>
      <c r="V84">
        <f t="shared" si="319"/>
        <v>0</v>
      </c>
      <c r="X84">
        <f t="shared" si="320"/>
        <v>0</v>
      </c>
      <c r="Y84">
        <f t="shared" si="321"/>
        <v>0</v>
      </c>
      <c r="Z84">
        <f t="shared" si="322"/>
        <v>0</v>
      </c>
      <c r="AA84">
        <f t="shared" si="323"/>
        <v>0</v>
      </c>
      <c r="AB84" s="25"/>
      <c r="AC84" s="25"/>
      <c r="AD84" s="25"/>
      <c r="AF84" s="48" t="s">
        <v>662</v>
      </c>
      <c r="AG84" s="689"/>
      <c r="AH84" s="689"/>
      <c r="AI84" s="48">
        <f t="shared" si="326"/>
        <v>0</v>
      </c>
      <c r="AJ84" s="48">
        <f t="shared" si="327"/>
        <v>0</v>
      </c>
      <c r="AK84" s="48">
        <f t="shared" si="328"/>
        <v>0</v>
      </c>
      <c r="AL84" s="48">
        <f t="shared" si="329"/>
        <v>0</v>
      </c>
      <c r="AM84" s="48">
        <f t="shared" si="330"/>
        <v>0</v>
      </c>
      <c r="AN84" s="48">
        <f t="shared" si="331"/>
        <v>0</v>
      </c>
      <c r="AO84" s="48">
        <f t="shared" si="332"/>
        <v>0</v>
      </c>
      <c r="AP84" s="48">
        <f t="shared" si="333"/>
        <v>0</v>
      </c>
      <c r="AQ84" s="48">
        <f t="shared" si="334"/>
        <v>0</v>
      </c>
      <c r="AR84" s="48">
        <f t="shared" si="335"/>
        <v>0</v>
      </c>
      <c r="AS84" s="48">
        <f t="shared" si="336"/>
        <v>0</v>
      </c>
      <c r="AT84" s="48">
        <f t="shared" si="337"/>
        <v>0</v>
      </c>
      <c r="AU84" s="48">
        <f t="shared" si="338"/>
        <v>0</v>
      </c>
      <c r="AV84" s="48">
        <f t="shared" si="339"/>
        <v>0</v>
      </c>
      <c r="AW84" s="48">
        <f t="shared" si="340"/>
        <v>0</v>
      </c>
      <c r="AX84" s="48">
        <f t="shared" si="341"/>
        <v>0</v>
      </c>
      <c r="AY84" s="48">
        <f t="shared" si="342"/>
        <v>0</v>
      </c>
      <c r="AZ84" s="48">
        <f t="shared" si="343"/>
        <v>0</v>
      </c>
      <c r="BA84" s="48">
        <f t="shared" si="344"/>
        <v>0</v>
      </c>
      <c r="BB84" s="48">
        <f t="shared" si="345"/>
        <v>0</v>
      </c>
      <c r="BC84" s="48">
        <f t="shared" si="346"/>
        <v>0</v>
      </c>
      <c r="BD84" s="48">
        <f t="shared" si="347"/>
        <v>0</v>
      </c>
      <c r="BE84" s="48">
        <f t="shared" si="348"/>
        <v>0</v>
      </c>
      <c r="BF84" s="48">
        <f t="shared" si="349"/>
        <v>0</v>
      </c>
      <c r="BG84" s="48">
        <f t="shared" si="350"/>
        <v>0</v>
      </c>
      <c r="BH84" s="48">
        <f t="shared" si="351"/>
        <v>0</v>
      </c>
      <c r="BI84" s="48">
        <f t="shared" si="352"/>
        <v>0</v>
      </c>
      <c r="BJ84" s="48">
        <f t="shared" si="353"/>
        <v>0</v>
      </c>
      <c r="BK84" s="48">
        <f t="shared" si="354"/>
        <v>0</v>
      </c>
      <c r="BL84" s="48">
        <f t="shared" si="355"/>
        <v>0</v>
      </c>
      <c r="BM84" s="48">
        <f t="shared" si="356"/>
        <v>0</v>
      </c>
      <c r="BN84" s="48">
        <f t="shared" si="357"/>
        <v>0</v>
      </c>
      <c r="BO84" s="48">
        <f t="shared" si="358"/>
        <v>0</v>
      </c>
      <c r="BP84" s="48">
        <f t="shared" si="359"/>
        <v>0</v>
      </c>
      <c r="BQ84" s="48">
        <f t="shared" si="360"/>
        <v>0</v>
      </c>
      <c r="BR84" s="48">
        <f t="shared" si="361"/>
        <v>0</v>
      </c>
      <c r="BS84" s="48">
        <f t="shared" si="362"/>
        <v>0</v>
      </c>
      <c r="BT84" s="48">
        <f t="shared" si="363"/>
        <v>0</v>
      </c>
      <c r="BU84" s="48">
        <f t="shared" si="364"/>
        <v>0</v>
      </c>
      <c r="BV84" s="48">
        <f t="shared" si="365"/>
        <v>0</v>
      </c>
      <c r="BW84" s="48">
        <f t="shared" si="366"/>
        <v>0</v>
      </c>
      <c r="BX84" s="48">
        <f t="shared" si="367"/>
        <v>0</v>
      </c>
      <c r="BY84" s="48">
        <f t="shared" si="368"/>
        <v>0</v>
      </c>
      <c r="BZ84" s="48">
        <f t="shared" si="369"/>
        <v>0</v>
      </c>
      <c r="CA84" s="48">
        <f t="shared" si="370"/>
        <v>0</v>
      </c>
      <c r="CB84" s="48">
        <f t="shared" si="371"/>
        <v>0</v>
      </c>
      <c r="CC84" s="48">
        <f t="shared" si="372"/>
        <v>0</v>
      </c>
      <c r="CD84" s="48">
        <f t="shared" si="373"/>
        <v>0</v>
      </c>
      <c r="CE84" s="48">
        <f t="shared" si="374"/>
        <v>0</v>
      </c>
      <c r="CF84" s="48">
        <f t="shared" si="375"/>
        <v>0</v>
      </c>
      <c r="CG84" s="48">
        <f t="shared" si="376"/>
        <v>0</v>
      </c>
      <c r="CH84" s="48">
        <f t="shared" si="377"/>
        <v>0</v>
      </c>
      <c r="CI84" s="48">
        <f t="shared" si="378"/>
        <v>0</v>
      </c>
      <c r="CJ84" s="48">
        <f t="shared" si="379"/>
        <v>0</v>
      </c>
      <c r="CK84" s="48">
        <f t="shared" si="380"/>
        <v>0</v>
      </c>
      <c r="CL84" s="48">
        <f t="shared" si="381"/>
        <v>0</v>
      </c>
      <c r="CM84" s="48">
        <f t="shared" si="382"/>
        <v>0</v>
      </c>
      <c r="CN84" s="48">
        <f t="shared" si="383"/>
        <v>0</v>
      </c>
      <c r="CO84" s="48">
        <f t="shared" si="384"/>
        <v>0</v>
      </c>
      <c r="CP84" s="48">
        <f t="shared" si="385"/>
        <v>0</v>
      </c>
      <c r="CQ84" s="48">
        <f t="shared" si="386"/>
        <v>0</v>
      </c>
      <c r="CR84" s="48">
        <f t="shared" si="387"/>
        <v>0</v>
      </c>
      <c r="CS84" s="48">
        <f t="shared" si="388"/>
        <v>0</v>
      </c>
      <c r="CT84" s="48">
        <f t="shared" si="389"/>
        <v>0</v>
      </c>
      <c r="CU84" s="48">
        <f t="shared" si="390"/>
        <v>0</v>
      </c>
      <c r="CV84" s="48">
        <f t="shared" si="391"/>
        <v>0</v>
      </c>
      <c r="CW84" s="48">
        <f t="shared" si="392"/>
        <v>0</v>
      </c>
      <c r="CX84" s="48">
        <f t="shared" si="393"/>
        <v>0</v>
      </c>
      <c r="CY84" s="48">
        <f t="shared" si="394"/>
        <v>0</v>
      </c>
      <c r="CZ84" s="48">
        <f t="shared" si="395"/>
        <v>0</v>
      </c>
      <c r="DA84" s="48">
        <f t="shared" si="396"/>
        <v>0</v>
      </c>
      <c r="DB84" s="48">
        <f t="shared" si="397"/>
        <v>0</v>
      </c>
      <c r="DC84" s="48">
        <f t="shared" si="398"/>
        <v>0</v>
      </c>
      <c r="DD84" s="48">
        <f t="shared" si="399"/>
        <v>0</v>
      </c>
      <c r="DE84" s="48">
        <f t="shared" si="400"/>
        <v>0</v>
      </c>
      <c r="DF84" s="48">
        <f t="shared" si="401"/>
        <v>0</v>
      </c>
      <c r="DG84" s="48">
        <f t="shared" si="402"/>
        <v>0</v>
      </c>
      <c r="DH84" s="48">
        <f t="shared" si="403"/>
        <v>0</v>
      </c>
      <c r="DI84" s="48">
        <f t="shared" si="404"/>
        <v>0</v>
      </c>
      <c r="DJ84" s="48">
        <f t="shared" si="405"/>
        <v>0</v>
      </c>
      <c r="DK84" s="48">
        <f t="shared" si="406"/>
        <v>0</v>
      </c>
      <c r="DL84" s="48">
        <f t="shared" si="407"/>
        <v>0</v>
      </c>
      <c r="DM84" s="48">
        <f t="shared" si="408"/>
        <v>0</v>
      </c>
      <c r="DN84" s="48">
        <f t="shared" si="409"/>
        <v>0</v>
      </c>
      <c r="DO84" s="48">
        <f t="shared" si="410"/>
        <v>0</v>
      </c>
      <c r="DP84" s="48">
        <f t="shared" si="411"/>
        <v>0</v>
      </c>
      <c r="DQ84" s="48">
        <f t="shared" si="412"/>
        <v>0</v>
      </c>
      <c r="DR84" s="48">
        <f t="shared" si="413"/>
        <v>0</v>
      </c>
      <c r="DS84" s="48">
        <f t="shared" si="414"/>
        <v>0</v>
      </c>
      <c r="DT84" s="48">
        <f t="shared" si="415"/>
        <v>0</v>
      </c>
      <c r="DU84" s="48">
        <f t="shared" si="416"/>
        <v>0</v>
      </c>
      <c r="DV84" s="48">
        <f t="shared" si="417"/>
        <v>0</v>
      </c>
      <c r="DW84" s="48">
        <f t="shared" si="418"/>
        <v>0</v>
      </c>
      <c r="DX84" s="48">
        <f t="shared" si="419"/>
        <v>0</v>
      </c>
      <c r="DY84" s="48">
        <f t="shared" si="420"/>
        <v>0</v>
      </c>
      <c r="DZ84" s="48">
        <f t="shared" si="421"/>
        <v>0</v>
      </c>
      <c r="EA84" s="48">
        <f t="shared" si="422"/>
        <v>0</v>
      </c>
      <c r="EB84" s="48">
        <f t="shared" si="423"/>
        <v>0</v>
      </c>
      <c r="EC84" s="48">
        <f t="shared" si="424"/>
        <v>0</v>
      </c>
      <c r="ED84" s="48">
        <f t="shared" si="425"/>
        <v>0</v>
      </c>
      <c r="EE84" s="48">
        <f t="shared" si="426"/>
        <v>0</v>
      </c>
      <c r="EF84" s="48">
        <f t="shared" si="427"/>
        <v>0</v>
      </c>
      <c r="EG84" s="48">
        <f t="shared" si="428"/>
        <v>0</v>
      </c>
      <c r="EH84" s="48">
        <f t="shared" si="429"/>
        <v>0</v>
      </c>
      <c r="EI84" s="48">
        <f t="shared" si="430"/>
        <v>0</v>
      </c>
      <c r="EJ84" s="48">
        <f t="shared" si="431"/>
        <v>0</v>
      </c>
      <c r="EK84" s="48">
        <f t="shared" si="432"/>
        <v>0</v>
      </c>
      <c r="EL84" s="48">
        <f t="shared" si="433"/>
        <v>0</v>
      </c>
      <c r="EM84" s="48">
        <f t="shared" si="434"/>
        <v>0</v>
      </c>
      <c r="EN84" s="48">
        <f t="shared" si="435"/>
        <v>0</v>
      </c>
      <c r="EO84" s="48">
        <f t="shared" si="436"/>
        <v>0</v>
      </c>
      <c r="EP84" s="48">
        <f t="shared" si="437"/>
        <v>0</v>
      </c>
      <c r="EQ84" s="48">
        <f t="shared" si="438"/>
        <v>0</v>
      </c>
      <c r="ER84" s="48">
        <f t="shared" si="439"/>
        <v>0</v>
      </c>
      <c r="ES84" s="48">
        <f t="shared" si="440"/>
        <v>0</v>
      </c>
      <c r="ET84" s="48">
        <f t="shared" si="441"/>
        <v>0</v>
      </c>
      <c r="EU84" s="48">
        <f t="shared" si="442"/>
        <v>0</v>
      </c>
      <c r="EV84" s="48">
        <f t="shared" si="443"/>
        <v>0</v>
      </c>
      <c r="EW84" s="48">
        <f t="shared" si="444"/>
        <v>0</v>
      </c>
      <c r="EX84" s="48">
        <f t="shared" si="445"/>
        <v>0</v>
      </c>
      <c r="EY84" s="48">
        <f t="shared" si="446"/>
        <v>0</v>
      </c>
      <c r="EZ84" s="48">
        <f t="shared" si="447"/>
        <v>0</v>
      </c>
      <c r="FA84" s="48">
        <f t="shared" si="448"/>
        <v>0</v>
      </c>
      <c r="FB84" s="48">
        <f t="shared" si="449"/>
        <v>0</v>
      </c>
      <c r="FC84" s="48">
        <f t="shared" si="450"/>
        <v>0</v>
      </c>
      <c r="FD84" s="48">
        <f t="shared" si="451"/>
        <v>0</v>
      </c>
      <c r="FE84" s="48">
        <f t="shared" si="452"/>
        <v>0</v>
      </c>
      <c r="FF84" s="48">
        <f t="shared" si="453"/>
        <v>0</v>
      </c>
      <c r="FG84" s="48">
        <f t="shared" si="454"/>
        <v>0</v>
      </c>
      <c r="FH84" s="48">
        <f t="shared" si="455"/>
        <v>0</v>
      </c>
      <c r="FI84" s="48">
        <f t="shared" si="456"/>
        <v>0</v>
      </c>
      <c r="FJ84" s="48">
        <f t="shared" si="457"/>
        <v>0</v>
      </c>
      <c r="FK84" s="48">
        <f t="shared" si="458"/>
        <v>0</v>
      </c>
      <c r="FL84" s="48">
        <f t="shared" si="459"/>
        <v>0</v>
      </c>
      <c r="FM84" s="48">
        <f t="shared" si="460"/>
        <v>0</v>
      </c>
      <c r="FN84" s="48">
        <f t="shared" si="461"/>
        <v>0</v>
      </c>
      <c r="FO84" s="48">
        <f t="shared" si="462"/>
        <v>0</v>
      </c>
      <c r="FP84" s="48">
        <f t="shared" si="463"/>
        <v>0</v>
      </c>
      <c r="FQ84" s="48">
        <f t="shared" si="464"/>
        <v>0</v>
      </c>
      <c r="FR84" s="48">
        <f t="shared" si="465"/>
        <v>0</v>
      </c>
      <c r="FS84" s="48">
        <f t="shared" si="466"/>
        <v>0</v>
      </c>
      <c r="FT84" s="48">
        <f t="shared" si="467"/>
        <v>0</v>
      </c>
      <c r="FU84" s="48">
        <f t="shared" si="468"/>
        <v>0</v>
      </c>
      <c r="FV84" s="48">
        <f t="shared" si="469"/>
        <v>0</v>
      </c>
      <c r="FW84" s="48">
        <f t="shared" si="470"/>
        <v>0</v>
      </c>
      <c r="FX84" s="48">
        <f t="shared" si="471"/>
        <v>0</v>
      </c>
      <c r="FY84" s="48">
        <f t="shared" si="472"/>
        <v>0</v>
      </c>
      <c r="FZ84" s="48">
        <f t="shared" si="473"/>
        <v>0</v>
      </c>
      <c r="GA84" s="48">
        <f t="shared" si="474"/>
        <v>0</v>
      </c>
      <c r="GB84" s="48">
        <f t="shared" si="475"/>
        <v>0</v>
      </c>
      <c r="GC84" s="48">
        <f t="shared" si="476"/>
        <v>0</v>
      </c>
      <c r="GG84">
        <f t="shared" si="477"/>
        <v>0</v>
      </c>
    </row>
    <row r="85" spans="1:189" x14ac:dyDescent="0.25">
      <c r="A85" s="690"/>
      <c r="B85" s="690"/>
      <c r="C85" s="690"/>
      <c r="D85" s="690"/>
      <c r="E85" s="690"/>
      <c r="F85" s="690"/>
      <c r="G85" s="889"/>
      <c r="H85" s="690"/>
      <c r="I85" s="690"/>
      <c r="J85" s="690"/>
      <c r="K85" s="690"/>
      <c r="L85" s="690"/>
      <c r="M85" s="690"/>
      <c r="N85" s="507" t="str">
        <f t="shared" si="324"/>
        <v/>
      </c>
      <c r="O85" s="690"/>
      <c r="P85" s="507" t="str">
        <f t="shared" si="325"/>
        <v/>
      </c>
      <c r="Q85" s="690"/>
      <c r="R85" s="690"/>
      <c r="S85" s="690"/>
      <c r="T85" s="690"/>
      <c r="U85">
        <f t="shared" si="318"/>
        <v>0</v>
      </c>
      <c r="V85">
        <f t="shared" si="319"/>
        <v>0</v>
      </c>
      <c r="X85">
        <f t="shared" si="320"/>
        <v>0</v>
      </c>
      <c r="Y85">
        <f t="shared" si="321"/>
        <v>0</v>
      </c>
      <c r="Z85">
        <f t="shared" si="322"/>
        <v>0</v>
      </c>
      <c r="AA85">
        <f t="shared" si="323"/>
        <v>0</v>
      </c>
      <c r="AB85" s="25"/>
      <c r="AC85" s="25"/>
      <c r="AD85" s="25"/>
      <c r="AF85" s="48" t="s">
        <v>664</v>
      </c>
      <c r="AG85" s="689"/>
      <c r="AH85" s="689"/>
      <c r="AI85" s="48">
        <f t="shared" si="326"/>
        <v>0</v>
      </c>
      <c r="AJ85" s="48">
        <f t="shared" si="327"/>
        <v>0</v>
      </c>
      <c r="AK85" s="48">
        <f t="shared" si="328"/>
        <v>0</v>
      </c>
      <c r="AL85" s="48">
        <f t="shared" si="329"/>
        <v>0</v>
      </c>
      <c r="AM85" s="48">
        <f t="shared" si="330"/>
        <v>0</v>
      </c>
      <c r="AN85" s="48">
        <f t="shared" si="331"/>
        <v>0</v>
      </c>
      <c r="AO85" s="48">
        <f t="shared" si="332"/>
        <v>0</v>
      </c>
      <c r="AP85" s="48">
        <f t="shared" si="333"/>
        <v>0</v>
      </c>
      <c r="AQ85" s="48">
        <f t="shared" si="334"/>
        <v>0</v>
      </c>
      <c r="AR85" s="48">
        <f t="shared" si="335"/>
        <v>0</v>
      </c>
      <c r="AS85" s="48">
        <f t="shared" si="336"/>
        <v>0</v>
      </c>
      <c r="AT85" s="48">
        <f t="shared" si="337"/>
        <v>0</v>
      </c>
      <c r="AU85" s="48">
        <f t="shared" si="338"/>
        <v>0</v>
      </c>
      <c r="AV85" s="48">
        <f t="shared" si="339"/>
        <v>0</v>
      </c>
      <c r="AW85" s="48">
        <f t="shared" si="340"/>
        <v>0</v>
      </c>
      <c r="AX85" s="48">
        <f t="shared" si="341"/>
        <v>0</v>
      </c>
      <c r="AY85" s="48">
        <f t="shared" si="342"/>
        <v>0</v>
      </c>
      <c r="AZ85" s="48">
        <f t="shared" si="343"/>
        <v>0</v>
      </c>
      <c r="BA85" s="48">
        <f t="shared" si="344"/>
        <v>0</v>
      </c>
      <c r="BB85" s="48">
        <f t="shared" si="345"/>
        <v>0</v>
      </c>
      <c r="BC85" s="48">
        <f t="shared" si="346"/>
        <v>0</v>
      </c>
      <c r="BD85" s="48">
        <f t="shared" si="347"/>
        <v>0</v>
      </c>
      <c r="BE85" s="48">
        <f t="shared" si="348"/>
        <v>0</v>
      </c>
      <c r="BF85" s="48">
        <f t="shared" si="349"/>
        <v>0</v>
      </c>
      <c r="BG85" s="48">
        <f t="shared" si="350"/>
        <v>0</v>
      </c>
      <c r="BH85" s="48">
        <f t="shared" si="351"/>
        <v>0</v>
      </c>
      <c r="BI85" s="48">
        <f t="shared" si="352"/>
        <v>0</v>
      </c>
      <c r="BJ85" s="48">
        <f t="shared" si="353"/>
        <v>0</v>
      </c>
      <c r="BK85" s="48">
        <f t="shared" si="354"/>
        <v>0</v>
      </c>
      <c r="BL85" s="48">
        <f t="shared" si="355"/>
        <v>0</v>
      </c>
      <c r="BM85" s="48">
        <f t="shared" si="356"/>
        <v>0</v>
      </c>
      <c r="BN85" s="48">
        <f t="shared" si="357"/>
        <v>0</v>
      </c>
      <c r="BO85" s="48">
        <f t="shared" si="358"/>
        <v>0</v>
      </c>
      <c r="BP85" s="48">
        <f t="shared" si="359"/>
        <v>0</v>
      </c>
      <c r="BQ85" s="48">
        <f t="shared" si="360"/>
        <v>0</v>
      </c>
      <c r="BR85" s="48">
        <f t="shared" si="361"/>
        <v>0</v>
      </c>
      <c r="BS85" s="48">
        <f t="shared" si="362"/>
        <v>0</v>
      </c>
      <c r="BT85" s="48">
        <f t="shared" si="363"/>
        <v>0</v>
      </c>
      <c r="BU85" s="48">
        <f t="shared" si="364"/>
        <v>0</v>
      </c>
      <c r="BV85" s="48">
        <f t="shared" si="365"/>
        <v>0</v>
      </c>
      <c r="BW85" s="48">
        <f t="shared" si="366"/>
        <v>0</v>
      </c>
      <c r="BX85" s="48">
        <f t="shared" si="367"/>
        <v>0</v>
      </c>
      <c r="BY85" s="48">
        <f t="shared" si="368"/>
        <v>0</v>
      </c>
      <c r="BZ85" s="48">
        <f t="shared" si="369"/>
        <v>0</v>
      </c>
      <c r="CA85" s="48">
        <f t="shared" si="370"/>
        <v>0</v>
      </c>
      <c r="CB85" s="48">
        <f t="shared" si="371"/>
        <v>0</v>
      </c>
      <c r="CC85" s="48">
        <f t="shared" si="372"/>
        <v>0</v>
      </c>
      <c r="CD85" s="48">
        <f t="shared" si="373"/>
        <v>0</v>
      </c>
      <c r="CE85" s="48">
        <f t="shared" si="374"/>
        <v>0</v>
      </c>
      <c r="CF85" s="48">
        <f t="shared" si="375"/>
        <v>0</v>
      </c>
      <c r="CG85" s="48">
        <f t="shared" si="376"/>
        <v>0</v>
      </c>
      <c r="CH85" s="48">
        <f t="shared" si="377"/>
        <v>0</v>
      </c>
      <c r="CI85" s="48">
        <f t="shared" si="378"/>
        <v>0</v>
      </c>
      <c r="CJ85" s="48">
        <f t="shared" si="379"/>
        <v>0</v>
      </c>
      <c r="CK85" s="48">
        <f t="shared" si="380"/>
        <v>0</v>
      </c>
      <c r="CL85" s="48">
        <f t="shared" si="381"/>
        <v>0</v>
      </c>
      <c r="CM85" s="48">
        <f t="shared" si="382"/>
        <v>0</v>
      </c>
      <c r="CN85" s="48">
        <f t="shared" si="383"/>
        <v>0</v>
      </c>
      <c r="CO85" s="48">
        <f t="shared" si="384"/>
        <v>0</v>
      </c>
      <c r="CP85" s="48">
        <f t="shared" si="385"/>
        <v>0</v>
      </c>
      <c r="CQ85" s="48">
        <f t="shared" si="386"/>
        <v>0</v>
      </c>
      <c r="CR85" s="48">
        <f t="shared" si="387"/>
        <v>0</v>
      </c>
      <c r="CS85" s="48">
        <f t="shared" si="388"/>
        <v>0</v>
      </c>
      <c r="CT85" s="48">
        <f t="shared" si="389"/>
        <v>0</v>
      </c>
      <c r="CU85" s="48">
        <f t="shared" si="390"/>
        <v>0</v>
      </c>
      <c r="CV85" s="48">
        <f t="shared" si="391"/>
        <v>0</v>
      </c>
      <c r="CW85" s="48">
        <f t="shared" si="392"/>
        <v>0</v>
      </c>
      <c r="CX85" s="48">
        <f t="shared" si="393"/>
        <v>0</v>
      </c>
      <c r="CY85" s="48">
        <f t="shared" si="394"/>
        <v>0</v>
      </c>
      <c r="CZ85" s="48">
        <f t="shared" si="395"/>
        <v>0</v>
      </c>
      <c r="DA85" s="48">
        <f t="shared" si="396"/>
        <v>0</v>
      </c>
      <c r="DB85" s="48">
        <f t="shared" si="397"/>
        <v>0</v>
      </c>
      <c r="DC85" s="48">
        <f t="shared" si="398"/>
        <v>0</v>
      </c>
      <c r="DD85" s="48">
        <f t="shared" si="399"/>
        <v>0</v>
      </c>
      <c r="DE85" s="48">
        <f t="shared" si="400"/>
        <v>0</v>
      </c>
      <c r="DF85" s="48">
        <f t="shared" si="401"/>
        <v>0</v>
      </c>
      <c r="DG85" s="48">
        <f t="shared" si="402"/>
        <v>0</v>
      </c>
      <c r="DH85" s="48">
        <f t="shared" si="403"/>
        <v>0</v>
      </c>
      <c r="DI85" s="48">
        <f t="shared" si="404"/>
        <v>0</v>
      </c>
      <c r="DJ85" s="48">
        <f t="shared" si="405"/>
        <v>0</v>
      </c>
      <c r="DK85" s="48">
        <f t="shared" si="406"/>
        <v>0</v>
      </c>
      <c r="DL85" s="48">
        <f t="shared" si="407"/>
        <v>0</v>
      </c>
      <c r="DM85" s="48">
        <f t="shared" si="408"/>
        <v>0</v>
      </c>
      <c r="DN85" s="48">
        <f t="shared" si="409"/>
        <v>0</v>
      </c>
      <c r="DO85" s="48">
        <f t="shared" si="410"/>
        <v>0</v>
      </c>
      <c r="DP85" s="48">
        <f t="shared" si="411"/>
        <v>0</v>
      </c>
      <c r="DQ85" s="48">
        <f t="shared" si="412"/>
        <v>0</v>
      </c>
      <c r="DR85" s="48">
        <f t="shared" si="413"/>
        <v>0</v>
      </c>
      <c r="DS85" s="48">
        <f t="shared" si="414"/>
        <v>0</v>
      </c>
      <c r="DT85" s="48">
        <f t="shared" si="415"/>
        <v>0</v>
      </c>
      <c r="DU85" s="48">
        <f t="shared" si="416"/>
        <v>0</v>
      </c>
      <c r="DV85" s="48">
        <f t="shared" si="417"/>
        <v>0</v>
      </c>
      <c r="DW85" s="48">
        <f t="shared" si="418"/>
        <v>0</v>
      </c>
      <c r="DX85" s="48">
        <f t="shared" si="419"/>
        <v>0</v>
      </c>
      <c r="DY85" s="48">
        <f t="shared" si="420"/>
        <v>0</v>
      </c>
      <c r="DZ85" s="48">
        <f t="shared" si="421"/>
        <v>0</v>
      </c>
      <c r="EA85" s="48">
        <f t="shared" si="422"/>
        <v>0</v>
      </c>
      <c r="EB85" s="48">
        <f t="shared" si="423"/>
        <v>0</v>
      </c>
      <c r="EC85" s="48">
        <f t="shared" si="424"/>
        <v>0</v>
      </c>
      <c r="ED85" s="48">
        <f t="shared" si="425"/>
        <v>0</v>
      </c>
      <c r="EE85" s="48">
        <f t="shared" si="426"/>
        <v>0</v>
      </c>
      <c r="EF85" s="48">
        <f t="shared" si="427"/>
        <v>0</v>
      </c>
      <c r="EG85" s="48">
        <f t="shared" si="428"/>
        <v>0</v>
      </c>
      <c r="EH85" s="48">
        <f t="shared" si="429"/>
        <v>0</v>
      </c>
      <c r="EI85" s="48">
        <f t="shared" si="430"/>
        <v>0</v>
      </c>
      <c r="EJ85" s="48">
        <f t="shared" si="431"/>
        <v>0</v>
      </c>
      <c r="EK85" s="48">
        <f t="shared" si="432"/>
        <v>0</v>
      </c>
      <c r="EL85" s="48">
        <f t="shared" si="433"/>
        <v>0</v>
      </c>
      <c r="EM85" s="48">
        <f t="shared" si="434"/>
        <v>0</v>
      </c>
      <c r="EN85" s="48">
        <f t="shared" si="435"/>
        <v>0</v>
      </c>
      <c r="EO85" s="48">
        <f t="shared" si="436"/>
        <v>0</v>
      </c>
      <c r="EP85" s="48">
        <f t="shared" si="437"/>
        <v>0</v>
      </c>
      <c r="EQ85" s="48">
        <f t="shared" si="438"/>
        <v>0</v>
      </c>
      <c r="ER85" s="48">
        <f t="shared" si="439"/>
        <v>0</v>
      </c>
      <c r="ES85" s="48">
        <f t="shared" si="440"/>
        <v>0</v>
      </c>
      <c r="ET85" s="48">
        <f t="shared" si="441"/>
        <v>0</v>
      </c>
      <c r="EU85" s="48">
        <f t="shared" si="442"/>
        <v>0</v>
      </c>
      <c r="EV85" s="48">
        <f t="shared" si="443"/>
        <v>0</v>
      </c>
      <c r="EW85" s="48">
        <f t="shared" si="444"/>
        <v>0</v>
      </c>
      <c r="EX85" s="48">
        <f t="shared" si="445"/>
        <v>0</v>
      </c>
      <c r="EY85" s="48">
        <f t="shared" si="446"/>
        <v>0</v>
      </c>
      <c r="EZ85" s="48">
        <f t="shared" si="447"/>
        <v>0</v>
      </c>
      <c r="FA85" s="48">
        <f t="shared" si="448"/>
        <v>0</v>
      </c>
      <c r="FB85" s="48">
        <f t="shared" si="449"/>
        <v>0</v>
      </c>
      <c r="FC85" s="48">
        <f t="shared" si="450"/>
        <v>0</v>
      </c>
      <c r="FD85" s="48">
        <f t="shared" si="451"/>
        <v>0</v>
      </c>
      <c r="FE85" s="48">
        <f t="shared" si="452"/>
        <v>0</v>
      </c>
      <c r="FF85" s="48">
        <f t="shared" si="453"/>
        <v>0</v>
      </c>
      <c r="FG85" s="48">
        <f t="shared" si="454"/>
        <v>0</v>
      </c>
      <c r="FH85" s="48">
        <f t="shared" si="455"/>
        <v>0</v>
      </c>
      <c r="FI85" s="48">
        <f t="shared" si="456"/>
        <v>0</v>
      </c>
      <c r="FJ85" s="48">
        <f t="shared" si="457"/>
        <v>0</v>
      </c>
      <c r="FK85" s="48">
        <f t="shared" si="458"/>
        <v>0</v>
      </c>
      <c r="FL85" s="48">
        <f t="shared" si="459"/>
        <v>0</v>
      </c>
      <c r="FM85" s="48">
        <f t="shared" si="460"/>
        <v>0</v>
      </c>
      <c r="FN85" s="48">
        <f t="shared" si="461"/>
        <v>0</v>
      </c>
      <c r="FO85" s="48">
        <f t="shared" si="462"/>
        <v>0</v>
      </c>
      <c r="FP85" s="48">
        <f t="shared" si="463"/>
        <v>0</v>
      </c>
      <c r="FQ85" s="48">
        <f t="shared" si="464"/>
        <v>0</v>
      </c>
      <c r="FR85" s="48">
        <f t="shared" si="465"/>
        <v>0</v>
      </c>
      <c r="FS85" s="48">
        <f t="shared" si="466"/>
        <v>0</v>
      </c>
      <c r="FT85" s="48">
        <f t="shared" si="467"/>
        <v>0</v>
      </c>
      <c r="FU85" s="48">
        <f t="shared" si="468"/>
        <v>0</v>
      </c>
      <c r="FV85" s="48">
        <f t="shared" si="469"/>
        <v>0</v>
      </c>
      <c r="FW85" s="48">
        <f t="shared" si="470"/>
        <v>0</v>
      </c>
      <c r="FX85" s="48">
        <f t="shared" si="471"/>
        <v>0</v>
      </c>
      <c r="FY85" s="48">
        <f t="shared" si="472"/>
        <v>0</v>
      </c>
      <c r="FZ85" s="48">
        <f t="shared" si="473"/>
        <v>0</v>
      </c>
      <c r="GA85" s="48">
        <f t="shared" si="474"/>
        <v>0</v>
      </c>
      <c r="GB85" s="48">
        <f t="shared" si="475"/>
        <v>0</v>
      </c>
      <c r="GC85" s="48">
        <f t="shared" si="476"/>
        <v>0</v>
      </c>
      <c r="GG85">
        <f t="shared" si="477"/>
        <v>0</v>
      </c>
    </row>
    <row r="86" spans="1:189" x14ac:dyDescent="0.25">
      <c r="A86" s="690"/>
      <c r="B86" s="690"/>
      <c r="C86" s="690"/>
      <c r="D86" s="690"/>
      <c r="E86" s="690"/>
      <c r="F86" s="690"/>
      <c r="G86" s="889"/>
      <c r="H86" s="690"/>
      <c r="I86" s="690"/>
      <c r="J86" s="690"/>
      <c r="K86" s="690"/>
      <c r="L86" s="690"/>
      <c r="M86" s="690"/>
      <c r="N86" s="507" t="str">
        <f t="shared" si="324"/>
        <v/>
      </c>
      <c r="O86" s="690"/>
      <c r="P86" s="507" t="str">
        <f t="shared" si="325"/>
        <v/>
      </c>
      <c r="Q86" s="690"/>
      <c r="R86" s="690"/>
      <c r="S86" s="690"/>
      <c r="T86" s="690"/>
      <c r="U86">
        <f t="shared" si="318"/>
        <v>0</v>
      </c>
      <c r="V86">
        <f t="shared" si="319"/>
        <v>0</v>
      </c>
      <c r="X86">
        <f t="shared" si="320"/>
        <v>0</v>
      </c>
      <c r="Y86">
        <f t="shared" si="321"/>
        <v>0</v>
      </c>
      <c r="Z86">
        <f t="shared" si="322"/>
        <v>0</v>
      </c>
      <c r="AA86">
        <f t="shared" si="323"/>
        <v>0</v>
      </c>
      <c r="AB86" s="25"/>
      <c r="AC86" s="25"/>
      <c r="AD86" s="25"/>
      <c r="AF86" s="48" t="s">
        <v>666</v>
      </c>
      <c r="AG86" s="689"/>
      <c r="AH86" s="689"/>
      <c r="AI86" s="48">
        <f t="shared" si="326"/>
        <v>0</v>
      </c>
      <c r="AJ86" s="48">
        <f t="shared" si="327"/>
        <v>0</v>
      </c>
      <c r="AK86" s="48">
        <f t="shared" si="328"/>
        <v>0</v>
      </c>
      <c r="AL86" s="48">
        <f t="shared" si="329"/>
        <v>0</v>
      </c>
      <c r="AM86" s="48">
        <f t="shared" si="330"/>
        <v>0</v>
      </c>
      <c r="AN86" s="48">
        <f t="shared" si="331"/>
        <v>0</v>
      </c>
      <c r="AO86" s="48">
        <f t="shared" si="332"/>
        <v>0</v>
      </c>
      <c r="AP86" s="48">
        <f t="shared" si="333"/>
        <v>0</v>
      </c>
      <c r="AQ86" s="48">
        <f t="shared" si="334"/>
        <v>0</v>
      </c>
      <c r="AR86" s="48">
        <f t="shared" si="335"/>
        <v>0</v>
      </c>
      <c r="AS86" s="48">
        <f t="shared" si="336"/>
        <v>0</v>
      </c>
      <c r="AT86" s="48">
        <f t="shared" si="337"/>
        <v>0</v>
      </c>
      <c r="AU86" s="48">
        <f t="shared" si="338"/>
        <v>0</v>
      </c>
      <c r="AV86" s="48">
        <f t="shared" si="339"/>
        <v>0</v>
      </c>
      <c r="AW86" s="48">
        <f t="shared" si="340"/>
        <v>0</v>
      </c>
      <c r="AX86" s="48">
        <f t="shared" si="341"/>
        <v>0</v>
      </c>
      <c r="AY86" s="48">
        <f t="shared" si="342"/>
        <v>0</v>
      </c>
      <c r="AZ86" s="48">
        <f t="shared" si="343"/>
        <v>0</v>
      </c>
      <c r="BA86" s="48">
        <f t="shared" si="344"/>
        <v>0</v>
      </c>
      <c r="BB86" s="48">
        <f t="shared" si="345"/>
        <v>0</v>
      </c>
      <c r="BC86" s="48">
        <f t="shared" si="346"/>
        <v>0</v>
      </c>
      <c r="BD86" s="48">
        <f t="shared" si="347"/>
        <v>0</v>
      </c>
      <c r="BE86" s="48">
        <f t="shared" si="348"/>
        <v>0</v>
      </c>
      <c r="BF86" s="48">
        <f t="shared" si="349"/>
        <v>0</v>
      </c>
      <c r="BG86" s="48">
        <f t="shared" si="350"/>
        <v>0</v>
      </c>
      <c r="BH86" s="48">
        <f t="shared" si="351"/>
        <v>0</v>
      </c>
      <c r="BI86" s="48">
        <f t="shared" si="352"/>
        <v>0</v>
      </c>
      <c r="BJ86" s="48">
        <f t="shared" si="353"/>
        <v>0</v>
      </c>
      <c r="BK86" s="48">
        <f t="shared" si="354"/>
        <v>0</v>
      </c>
      <c r="BL86" s="48">
        <f t="shared" si="355"/>
        <v>0</v>
      </c>
      <c r="BM86" s="48">
        <f t="shared" si="356"/>
        <v>0</v>
      </c>
      <c r="BN86" s="48">
        <f t="shared" si="357"/>
        <v>0</v>
      </c>
      <c r="BO86" s="48">
        <f t="shared" si="358"/>
        <v>0</v>
      </c>
      <c r="BP86" s="48">
        <f t="shared" si="359"/>
        <v>0</v>
      </c>
      <c r="BQ86" s="48">
        <f t="shared" si="360"/>
        <v>0</v>
      </c>
      <c r="BR86" s="48">
        <f t="shared" si="361"/>
        <v>0</v>
      </c>
      <c r="BS86" s="48">
        <f t="shared" si="362"/>
        <v>0</v>
      </c>
      <c r="BT86" s="48">
        <f t="shared" si="363"/>
        <v>0</v>
      </c>
      <c r="BU86" s="48">
        <f t="shared" si="364"/>
        <v>0</v>
      </c>
      <c r="BV86" s="48">
        <f t="shared" si="365"/>
        <v>0</v>
      </c>
      <c r="BW86" s="48">
        <f t="shared" si="366"/>
        <v>0</v>
      </c>
      <c r="BX86" s="48">
        <f t="shared" si="367"/>
        <v>0</v>
      </c>
      <c r="BY86" s="48">
        <f t="shared" si="368"/>
        <v>0</v>
      </c>
      <c r="BZ86" s="48">
        <f t="shared" si="369"/>
        <v>0</v>
      </c>
      <c r="CA86" s="48">
        <f t="shared" si="370"/>
        <v>0</v>
      </c>
      <c r="CB86" s="48">
        <f t="shared" si="371"/>
        <v>0</v>
      </c>
      <c r="CC86" s="48">
        <f t="shared" si="372"/>
        <v>0</v>
      </c>
      <c r="CD86" s="48">
        <f t="shared" si="373"/>
        <v>0</v>
      </c>
      <c r="CE86" s="48">
        <f t="shared" si="374"/>
        <v>0</v>
      </c>
      <c r="CF86" s="48">
        <f t="shared" si="375"/>
        <v>0</v>
      </c>
      <c r="CG86" s="48">
        <f t="shared" si="376"/>
        <v>0</v>
      </c>
      <c r="CH86" s="48">
        <f t="shared" si="377"/>
        <v>0</v>
      </c>
      <c r="CI86" s="48">
        <f t="shared" si="378"/>
        <v>0</v>
      </c>
      <c r="CJ86" s="48">
        <f t="shared" si="379"/>
        <v>0</v>
      </c>
      <c r="CK86" s="48">
        <f t="shared" si="380"/>
        <v>0</v>
      </c>
      <c r="CL86" s="48">
        <f t="shared" si="381"/>
        <v>0</v>
      </c>
      <c r="CM86" s="48">
        <f t="shared" si="382"/>
        <v>0</v>
      </c>
      <c r="CN86" s="48">
        <f t="shared" si="383"/>
        <v>0</v>
      </c>
      <c r="CO86" s="48">
        <f t="shared" si="384"/>
        <v>0</v>
      </c>
      <c r="CP86" s="48">
        <f t="shared" si="385"/>
        <v>0</v>
      </c>
      <c r="CQ86" s="48">
        <f t="shared" si="386"/>
        <v>0</v>
      </c>
      <c r="CR86" s="48">
        <f t="shared" si="387"/>
        <v>0</v>
      </c>
      <c r="CS86" s="48">
        <f t="shared" si="388"/>
        <v>0</v>
      </c>
      <c r="CT86" s="48">
        <f t="shared" si="389"/>
        <v>0</v>
      </c>
      <c r="CU86" s="48">
        <f t="shared" si="390"/>
        <v>0</v>
      </c>
      <c r="CV86" s="48">
        <f t="shared" si="391"/>
        <v>0</v>
      </c>
      <c r="CW86" s="48">
        <f t="shared" si="392"/>
        <v>0</v>
      </c>
      <c r="CX86" s="48">
        <f t="shared" si="393"/>
        <v>0</v>
      </c>
      <c r="CY86" s="48">
        <f t="shared" si="394"/>
        <v>0</v>
      </c>
      <c r="CZ86" s="48">
        <f t="shared" si="395"/>
        <v>0</v>
      </c>
      <c r="DA86" s="48">
        <f t="shared" si="396"/>
        <v>0</v>
      </c>
      <c r="DB86" s="48">
        <f t="shared" si="397"/>
        <v>0</v>
      </c>
      <c r="DC86" s="48">
        <f t="shared" si="398"/>
        <v>0</v>
      </c>
      <c r="DD86" s="48">
        <f t="shared" si="399"/>
        <v>0</v>
      </c>
      <c r="DE86" s="48">
        <f t="shared" si="400"/>
        <v>0</v>
      </c>
      <c r="DF86" s="48">
        <f t="shared" si="401"/>
        <v>0</v>
      </c>
      <c r="DG86" s="48">
        <f t="shared" si="402"/>
        <v>0</v>
      </c>
      <c r="DH86" s="48">
        <f t="shared" si="403"/>
        <v>0</v>
      </c>
      <c r="DI86" s="48">
        <f t="shared" si="404"/>
        <v>0</v>
      </c>
      <c r="DJ86" s="48">
        <f t="shared" si="405"/>
        <v>0</v>
      </c>
      <c r="DK86" s="48">
        <f t="shared" si="406"/>
        <v>0</v>
      </c>
      <c r="DL86" s="48">
        <f t="shared" si="407"/>
        <v>0</v>
      </c>
      <c r="DM86" s="48">
        <f t="shared" si="408"/>
        <v>0</v>
      </c>
      <c r="DN86" s="48">
        <f t="shared" si="409"/>
        <v>0</v>
      </c>
      <c r="DO86" s="48">
        <f t="shared" si="410"/>
        <v>0</v>
      </c>
      <c r="DP86" s="48">
        <f t="shared" si="411"/>
        <v>0</v>
      </c>
      <c r="DQ86" s="48">
        <f t="shared" si="412"/>
        <v>0</v>
      </c>
      <c r="DR86" s="48">
        <f t="shared" si="413"/>
        <v>0</v>
      </c>
      <c r="DS86" s="48">
        <f t="shared" si="414"/>
        <v>0</v>
      </c>
      <c r="DT86" s="48">
        <f t="shared" si="415"/>
        <v>0</v>
      </c>
      <c r="DU86" s="48">
        <f t="shared" si="416"/>
        <v>0</v>
      </c>
      <c r="DV86" s="48">
        <f t="shared" si="417"/>
        <v>0</v>
      </c>
      <c r="DW86" s="48">
        <f t="shared" si="418"/>
        <v>0</v>
      </c>
      <c r="DX86" s="48">
        <f t="shared" si="419"/>
        <v>0</v>
      </c>
      <c r="DY86" s="48">
        <f t="shared" si="420"/>
        <v>0</v>
      </c>
      <c r="DZ86" s="48">
        <f t="shared" si="421"/>
        <v>0</v>
      </c>
      <c r="EA86" s="48">
        <f t="shared" si="422"/>
        <v>0</v>
      </c>
      <c r="EB86" s="48">
        <f t="shared" si="423"/>
        <v>0</v>
      </c>
      <c r="EC86" s="48">
        <f t="shared" si="424"/>
        <v>0</v>
      </c>
      <c r="ED86" s="48">
        <f t="shared" si="425"/>
        <v>0</v>
      </c>
      <c r="EE86" s="48">
        <f t="shared" si="426"/>
        <v>0</v>
      </c>
      <c r="EF86" s="48">
        <f t="shared" si="427"/>
        <v>0</v>
      </c>
      <c r="EG86" s="48">
        <f t="shared" si="428"/>
        <v>0</v>
      </c>
      <c r="EH86" s="48">
        <f t="shared" si="429"/>
        <v>0</v>
      </c>
      <c r="EI86" s="48">
        <f t="shared" si="430"/>
        <v>0</v>
      </c>
      <c r="EJ86" s="48">
        <f t="shared" si="431"/>
        <v>0</v>
      </c>
      <c r="EK86" s="48">
        <f t="shared" si="432"/>
        <v>0</v>
      </c>
      <c r="EL86" s="48">
        <f t="shared" si="433"/>
        <v>0</v>
      </c>
      <c r="EM86" s="48">
        <f t="shared" si="434"/>
        <v>0</v>
      </c>
      <c r="EN86" s="48">
        <f t="shared" si="435"/>
        <v>0</v>
      </c>
      <c r="EO86" s="48">
        <f t="shared" si="436"/>
        <v>0</v>
      </c>
      <c r="EP86" s="48">
        <f t="shared" si="437"/>
        <v>0</v>
      </c>
      <c r="EQ86" s="48">
        <f t="shared" si="438"/>
        <v>0</v>
      </c>
      <c r="ER86" s="48">
        <f t="shared" si="439"/>
        <v>0</v>
      </c>
      <c r="ES86" s="48">
        <f t="shared" si="440"/>
        <v>0</v>
      </c>
      <c r="ET86" s="48">
        <f t="shared" si="441"/>
        <v>0</v>
      </c>
      <c r="EU86" s="48">
        <f t="shared" si="442"/>
        <v>0</v>
      </c>
      <c r="EV86" s="48">
        <f t="shared" si="443"/>
        <v>0</v>
      </c>
      <c r="EW86" s="48">
        <f t="shared" si="444"/>
        <v>0</v>
      </c>
      <c r="EX86" s="48">
        <f t="shared" si="445"/>
        <v>0</v>
      </c>
      <c r="EY86" s="48">
        <f t="shared" si="446"/>
        <v>0</v>
      </c>
      <c r="EZ86" s="48">
        <f t="shared" si="447"/>
        <v>0</v>
      </c>
      <c r="FA86" s="48">
        <f t="shared" si="448"/>
        <v>0</v>
      </c>
      <c r="FB86" s="48">
        <f t="shared" si="449"/>
        <v>0</v>
      </c>
      <c r="FC86" s="48">
        <f t="shared" si="450"/>
        <v>0</v>
      </c>
      <c r="FD86" s="48">
        <f t="shared" si="451"/>
        <v>0</v>
      </c>
      <c r="FE86" s="48">
        <f t="shared" si="452"/>
        <v>0</v>
      </c>
      <c r="FF86" s="48">
        <f t="shared" si="453"/>
        <v>0</v>
      </c>
      <c r="FG86" s="48">
        <f t="shared" si="454"/>
        <v>0</v>
      </c>
      <c r="FH86" s="48">
        <f t="shared" si="455"/>
        <v>0</v>
      </c>
      <c r="FI86" s="48">
        <f t="shared" si="456"/>
        <v>0</v>
      </c>
      <c r="FJ86" s="48">
        <f t="shared" si="457"/>
        <v>0</v>
      </c>
      <c r="FK86" s="48">
        <f t="shared" si="458"/>
        <v>0</v>
      </c>
      <c r="FL86" s="48">
        <f t="shared" si="459"/>
        <v>0</v>
      </c>
      <c r="FM86" s="48">
        <f t="shared" si="460"/>
        <v>0</v>
      </c>
      <c r="FN86" s="48">
        <f t="shared" si="461"/>
        <v>0</v>
      </c>
      <c r="FO86" s="48">
        <f t="shared" si="462"/>
        <v>0</v>
      </c>
      <c r="FP86" s="48">
        <f t="shared" si="463"/>
        <v>0</v>
      </c>
      <c r="FQ86" s="48">
        <f t="shared" si="464"/>
        <v>0</v>
      </c>
      <c r="FR86" s="48">
        <f t="shared" si="465"/>
        <v>0</v>
      </c>
      <c r="FS86" s="48">
        <f t="shared" si="466"/>
        <v>0</v>
      </c>
      <c r="FT86" s="48">
        <f t="shared" si="467"/>
        <v>0</v>
      </c>
      <c r="FU86" s="48">
        <f t="shared" si="468"/>
        <v>0</v>
      </c>
      <c r="FV86" s="48">
        <f t="shared" si="469"/>
        <v>0</v>
      </c>
      <c r="FW86" s="48">
        <f t="shared" si="470"/>
        <v>0</v>
      </c>
      <c r="FX86" s="48">
        <f t="shared" si="471"/>
        <v>0</v>
      </c>
      <c r="FY86" s="48">
        <f t="shared" si="472"/>
        <v>0</v>
      </c>
      <c r="FZ86" s="48">
        <f t="shared" si="473"/>
        <v>0</v>
      </c>
      <c r="GA86" s="48">
        <f t="shared" si="474"/>
        <v>0</v>
      </c>
      <c r="GB86" s="48">
        <f t="shared" si="475"/>
        <v>0</v>
      </c>
      <c r="GC86" s="48">
        <f t="shared" si="476"/>
        <v>0</v>
      </c>
      <c r="GG86">
        <f t="shared" si="477"/>
        <v>0</v>
      </c>
    </row>
    <row r="87" spans="1:189" x14ac:dyDescent="0.25">
      <c r="A87" s="690"/>
      <c r="B87" s="690"/>
      <c r="C87" s="690"/>
      <c r="D87" s="690"/>
      <c r="E87" s="690"/>
      <c r="F87" s="690"/>
      <c r="G87" s="889"/>
      <c r="H87" s="690"/>
      <c r="I87" s="690"/>
      <c r="J87" s="690"/>
      <c r="K87" s="690"/>
      <c r="L87" s="690"/>
      <c r="M87" s="690"/>
      <c r="N87" s="507" t="str">
        <f t="shared" si="324"/>
        <v/>
      </c>
      <c r="O87" s="690"/>
      <c r="P87" s="507" t="str">
        <f t="shared" si="325"/>
        <v/>
      </c>
      <c r="Q87" s="690"/>
      <c r="R87" s="690"/>
      <c r="S87" s="690"/>
      <c r="T87" s="690"/>
      <c r="U87">
        <f t="shared" si="318"/>
        <v>0</v>
      </c>
      <c r="V87">
        <f t="shared" si="319"/>
        <v>0</v>
      </c>
      <c r="X87">
        <f t="shared" si="320"/>
        <v>0</v>
      </c>
      <c r="Y87">
        <f t="shared" si="321"/>
        <v>0</v>
      </c>
      <c r="Z87">
        <f t="shared" si="322"/>
        <v>0</v>
      </c>
      <c r="AA87">
        <f t="shared" si="323"/>
        <v>0</v>
      </c>
      <c r="AB87" s="25"/>
      <c r="AC87" s="25"/>
      <c r="AD87" s="25"/>
      <c r="AF87" s="48" t="s">
        <v>668</v>
      </c>
      <c r="AG87" s="689"/>
      <c r="AH87" s="689"/>
      <c r="AI87" s="48">
        <f t="shared" si="326"/>
        <v>0</v>
      </c>
      <c r="AJ87" s="48">
        <f t="shared" si="327"/>
        <v>0</v>
      </c>
      <c r="AK87" s="48">
        <f t="shared" si="328"/>
        <v>0</v>
      </c>
      <c r="AL87" s="48">
        <f t="shared" si="329"/>
        <v>0</v>
      </c>
      <c r="AM87" s="48">
        <f t="shared" si="330"/>
        <v>0</v>
      </c>
      <c r="AN87" s="48">
        <f t="shared" si="331"/>
        <v>0</v>
      </c>
      <c r="AO87" s="48">
        <f t="shared" si="332"/>
        <v>0</v>
      </c>
      <c r="AP87" s="48">
        <f t="shared" si="333"/>
        <v>0</v>
      </c>
      <c r="AQ87" s="48">
        <f t="shared" si="334"/>
        <v>0</v>
      </c>
      <c r="AR87" s="48">
        <f t="shared" si="335"/>
        <v>0</v>
      </c>
      <c r="AS87" s="48">
        <f t="shared" si="336"/>
        <v>0</v>
      </c>
      <c r="AT87" s="48">
        <f t="shared" si="337"/>
        <v>0</v>
      </c>
      <c r="AU87" s="48">
        <f t="shared" si="338"/>
        <v>0</v>
      </c>
      <c r="AV87" s="48">
        <f t="shared" si="339"/>
        <v>0</v>
      </c>
      <c r="AW87" s="48">
        <f t="shared" si="340"/>
        <v>0</v>
      </c>
      <c r="AX87" s="48">
        <f t="shared" si="341"/>
        <v>0</v>
      </c>
      <c r="AY87" s="48">
        <f t="shared" si="342"/>
        <v>0</v>
      </c>
      <c r="AZ87" s="48">
        <f t="shared" si="343"/>
        <v>0</v>
      </c>
      <c r="BA87" s="48">
        <f t="shared" si="344"/>
        <v>0</v>
      </c>
      <c r="BB87" s="48">
        <f t="shared" si="345"/>
        <v>0</v>
      </c>
      <c r="BC87" s="48">
        <f t="shared" si="346"/>
        <v>0</v>
      </c>
      <c r="BD87" s="48">
        <f t="shared" si="347"/>
        <v>0</v>
      </c>
      <c r="BE87" s="48">
        <f t="shared" si="348"/>
        <v>0</v>
      </c>
      <c r="BF87" s="48">
        <f t="shared" si="349"/>
        <v>0</v>
      </c>
      <c r="BG87" s="48">
        <f t="shared" si="350"/>
        <v>0</v>
      </c>
      <c r="BH87" s="48">
        <f t="shared" si="351"/>
        <v>0</v>
      </c>
      <c r="BI87" s="48">
        <f t="shared" si="352"/>
        <v>0</v>
      </c>
      <c r="BJ87" s="48">
        <f t="shared" si="353"/>
        <v>0</v>
      </c>
      <c r="BK87" s="48">
        <f t="shared" si="354"/>
        <v>0</v>
      </c>
      <c r="BL87" s="48">
        <f t="shared" si="355"/>
        <v>0</v>
      </c>
      <c r="BM87" s="48">
        <f t="shared" si="356"/>
        <v>0</v>
      </c>
      <c r="BN87" s="48">
        <f t="shared" si="357"/>
        <v>0</v>
      </c>
      <c r="BO87" s="48">
        <f t="shared" si="358"/>
        <v>0</v>
      </c>
      <c r="BP87" s="48">
        <f t="shared" si="359"/>
        <v>0</v>
      </c>
      <c r="BQ87" s="48">
        <f t="shared" si="360"/>
        <v>0</v>
      </c>
      <c r="BR87" s="48">
        <f t="shared" si="361"/>
        <v>0</v>
      </c>
      <c r="BS87" s="48">
        <f t="shared" si="362"/>
        <v>0</v>
      </c>
      <c r="BT87" s="48">
        <f t="shared" si="363"/>
        <v>0</v>
      </c>
      <c r="BU87" s="48">
        <f t="shared" si="364"/>
        <v>0</v>
      </c>
      <c r="BV87" s="48">
        <f t="shared" si="365"/>
        <v>0</v>
      </c>
      <c r="BW87" s="48">
        <f t="shared" si="366"/>
        <v>0</v>
      </c>
      <c r="BX87" s="48">
        <f t="shared" si="367"/>
        <v>0</v>
      </c>
      <c r="BY87" s="48">
        <f t="shared" si="368"/>
        <v>0</v>
      </c>
      <c r="BZ87" s="48">
        <f t="shared" si="369"/>
        <v>0</v>
      </c>
      <c r="CA87" s="48">
        <f t="shared" si="370"/>
        <v>0</v>
      </c>
      <c r="CB87" s="48">
        <f t="shared" si="371"/>
        <v>0</v>
      </c>
      <c r="CC87" s="48">
        <f t="shared" si="372"/>
        <v>0</v>
      </c>
      <c r="CD87" s="48">
        <f t="shared" si="373"/>
        <v>0</v>
      </c>
      <c r="CE87" s="48">
        <f t="shared" si="374"/>
        <v>0</v>
      </c>
      <c r="CF87" s="48">
        <f t="shared" si="375"/>
        <v>0</v>
      </c>
      <c r="CG87" s="48">
        <f t="shared" si="376"/>
        <v>0</v>
      </c>
      <c r="CH87" s="48">
        <f t="shared" si="377"/>
        <v>0</v>
      </c>
      <c r="CI87" s="48">
        <f t="shared" si="378"/>
        <v>0</v>
      </c>
      <c r="CJ87" s="48">
        <f t="shared" si="379"/>
        <v>0</v>
      </c>
      <c r="CK87" s="48">
        <f t="shared" si="380"/>
        <v>0</v>
      </c>
      <c r="CL87" s="48">
        <f t="shared" si="381"/>
        <v>0</v>
      </c>
      <c r="CM87" s="48">
        <f t="shared" si="382"/>
        <v>0</v>
      </c>
      <c r="CN87" s="48">
        <f t="shared" si="383"/>
        <v>0</v>
      </c>
      <c r="CO87" s="48">
        <f t="shared" si="384"/>
        <v>0</v>
      </c>
      <c r="CP87" s="48">
        <f t="shared" si="385"/>
        <v>0</v>
      </c>
      <c r="CQ87" s="48">
        <f t="shared" si="386"/>
        <v>0</v>
      </c>
      <c r="CR87" s="48">
        <f t="shared" si="387"/>
        <v>0</v>
      </c>
      <c r="CS87" s="48">
        <f t="shared" si="388"/>
        <v>0</v>
      </c>
      <c r="CT87" s="48">
        <f t="shared" si="389"/>
        <v>0</v>
      </c>
      <c r="CU87" s="48">
        <f t="shared" si="390"/>
        <v>0</v>
      </c>
      <c r="CV87" s="48">
        <f t="shared" si="391"/>
        <v>0</v>
      </c>
      <c r="CW87" s="48">
        <f t="shared" si="392"/>
        <v>0</v>
      </c>
      <c r="CX87" s="48">
        <f t="shared" si="393"/>
        <v>0</v>
      </c>
      <c r="CY87" s="48">
        <f t="shared" si="394"/>
        <v>0</v>
      </c>
      <c r="CZ87" s="48">
        <f t="shared" si="395"/>
        <v>0</v>
      </c>
      <c r="DA87" s="48">
        <f t="shared" si="396"/>
        <v>0</v>
      </c>
      <c r="DB87" s="48">
        <f t="shared" si="397"/>
        <v>0</v>
      </c>
      <c r="DC87" s="48">
        <f t="shared" si="398"/>
        <v>0</v>
      </c>
      <c r="DD87" s="48">
        <f t="shared" si="399"/>
        <v>0</v>
      </c>
      <c r="DE87" s="48">
        <f t="shared" si="400"/>
        <v>0</v>
      </c>
      <c r="DF87" s="48">
        <f t="shared" si="401"/>
        <v>0</v>
      </c>
      <c r="DG87" s="48">
        <f t="shared" si="402"/>
        <v>0</v>
      </c>
      <c r="DH87" s="48">
        <f t="shared" si="403"/>
        <v>0</v>
      </c>
      <c r="DI87" s="48">
        <f t="shared" si="404"/>
        <v>0</v>
      </c>
      <c r="DJ87" s="48">
        <f t="shared" si="405"/>
        <v>0</v>
      </c>
      <c r="DK87" s="48">
        <f t="shared" si="406"/>
        <v>0</v>
      </c>
      <c r="DL87" s="48">
        <f t="shared" si="407"/>
        <v>0</v>
      </c>
      <c r="DM87" s="48">
        <f t="shared" si="408"/>
        <v>0</v>
      </c>
      <c r="DN87" s="48">
        <f t="shared" si="409"/>
        <v>0</v>
      </c>
      <c r="DO87" s="48">
        <f t="shared" si="410"/>
        <v>0</v>
      </c>
      <c r="DP87" s="48">
        <f t="shared" si="411"/>
        <v>0</v>
      </c>
      <c r="DQ87" s="48">
        <f t="shared" si="412"/>
        <v>0</v>
      </c>
      <c r="DR87" s="48">
        <f t="shared" si="413"/>
        <v>0</v>
      </c>
      <c r="DS87" s="48">
        <f t="shared" si="414"/>
        <v>0</v>
      </c>
      <c r="DT87" s="48">
        <f t="shared" si="415"/>
        <v>0</v>
      </c>
      <c r="DU87" s="48">
        <f t="shared" si="416"/>
        <v>0</v>
      </c>
      <c r="DV87" s="48">
        <f t="shared" si="417"/>
        <v>0</v>
      </c>
      <c r="DW87" s="48">
        <f t="shared" si="418"/>
        <v>0</v>
      </c>
      <c r="DX87" s="48">
        <f t="shared" si="419"/>
        <v>0</v>
      </c>
      <c r="DY87" s="48">
        <f t="shared" si="420"/>
        <v>0</v>
      </c>
      <c r="DZ87" s="48">
        <f t="shared" si="421"/>
        <v>0</v>
      </c>
      <c r="EA87" s="48">
        <f t="shared" si="422"/>
        <v>0</v>
      </c>
      <c r="EB87" s="48">
        <f t="shared" si="423"/>
        <v>0</v>
      </c>
      <c r="EC87" s="48">
        <f t="shared" si="424"/>
        <v>0</v>
      </c>
      <c r="ED87" s="48">
        <f t="shared" si="425"/>
        <v>0</v>
      </c>
      <c r="EE87" s="48">
        <f t="shared" si="426"/>
        <v>0</v>
      </c>
      <c r="EF87" s="48">
        <f t="shared" si="427"/>
        <v>0</v>
      </c>
      <c r="EG87" s="48">
        <f t="shared" si="428"/>
        <v>0</v>
      </c>
      <c r="EH87" s="48">
        <f t="shared" si="429"/>
        <v>0</v>
      </c>
      <c r="EI87" s="48">
        <f t="shared" si="430"/>
        <v>0</v>
      </c>
      <c r="EJ87" s="48">
        <f t="shared" si="431"/>
        <v>0</v>
      </c>
      <c r="EK87" s="48">
        <f t="shared" si="432"/>
        <v>0</v>
      </c>
      <c r="EL87" s="48">
        <f t="shared" si="433"/>
        <v>0</v>
      </c>
      <c r="EM87" s="48">
        <f t="shared" si="434"/>
        <v>0</v>
      </c>
      <c r="EN87" s="48">
        <f t="shared" si="435"/>
        <v>0</v>
      </c>
      <c r="EO87" s="48">
        <f t="shared" si="436"/>
        <v>0</v>
      </c>
      <c r="EP87" s="48">
        <f t="shared" si="437"/>
        <v>0</v>
      </c>
      <c r="EQ87" s="48">
        <f t="shared" si="438"/>
        <v>0</v>
      </c>
      <c r="ER87" s="48">
        <f t="shared" si="439"/>
        <v>0</v>
      </c>
      <c r="ES87" s="48">
        <f t="shared" si="440"/>
        <v>0</v>
      </c>
      <c r="ET87" s="48">
        <f t="shared" si="441"/>
        <v>0</v>
      </c>
      <c r="EU87" s="48">
        <f t="shared" si="442"/>
        <v>0</v>
      </c>
      <c r="EV87" s="48">
        <f t="shared" si="443"/>
        <v>0</v>
      </c>
      <c r="EW87" s="48">
        <f t="shared" si="444"/>
        <v>0</v>
      </c>
      <c r="EX87" s="48">
        <f t="shared" si="445"/>
        <v>0</v>
      </c>
      <c r="EY87" s="48">
        <f t="shared" si="446"/>
        <v>0</v>
      </c>
      <c r="EZ87" s="48">
        <f t="shared" si="447"/>
        <v>0</v>
      </c>
      <c r="FA87" s="48">
        <f t="shared" si="448"/>
        <v>0</v>
      </c>
      <c r="FB87" s="48">
        <f t="shared" si="449"/>
        <v>0</v>
      </c>
      <c r="FC87" s="48">
        <f t="shared" si="450"/>
        <v>0</v>
      </c>
      <c r="FD87" s="48">
        <f t="shared" si="451"/>
        <v>0</v>
      </c>
      <c r="FE87" s="48">
        <f t="shared" si="452"/>
        <v>0</v>
      </c>
      <c r="FF87" s="48">
        <f t="shared" si="453"/>
        <v>0</v>
      </c>
      <c r="FG87" s="48">
        <f t="shared" si="454"/>
        <v>0</v>
      </c>
      <c r="FH87" s="48">
        <f t="shared" si="455"/>
        <v>0</v>
      </c>
      <c r="FI87" s="48">
        <f t="shared" si="456"/>
        <v>0</v>
      </c>
      <c r="FJ87" s="48">
        <f t="shared" si="457"/>
        <v>0</v>
      </c>
      <c r="FK87" s="48">
        <f t="shared" si="458"/>
        <v>0</v>
      </c>
      <c r="FL87" s="48">
        <f t="shared" si="459"/>
        <v>0</v>
      </c>
      <c r="FM87" s="48">
        <f t="shared" si="460"/>
        <v>0</v>
      </c>
      <c r="FN87" s="48">
        <f t="shared" si="461"/>
        <v>0</v>
      </c>
      <c r="FO87" s="48">
        <f t="shared" si="462"/>
        <v>0</v>
      </c>
      <c r="FP87" s="48">
        <f t="shared" si="463"/>
        <v>0</v>
      </c>
      <c r="FQ87" s="48">
        <f t="shared" si="464"/>
        <v>0</v>
      </c>
      <c r="FR87" s="48">
        <f t="shared" si="465"/>
        <v>0</v>
      </c>
      <c r="FS87" s="48">
        <f t="shared" si="466"/>
        <v>0</v>
      </c>
      <c r="FT87" s="48">
        <f t="shared" si="467"/>
        <v>0</v>
      </c>
      <c r="FU87" s="48">
        <f t="shared" si="468"/>
        <v>0</v>
      </c>
      <c r="FV87" s="48">
        <f t="shared" si="469"/>
        <v>0</v>
      </c>
      <c r="FW87" s="48">
        <f t="shared" si="470"/>
        <v>0</v>
      </c>
      <c r="FX87" s="48">
        <f t="shared" si="471"/>
        <v>0</v>
      </c>
      <c r="FY87" s="48">
        <f t="shared" si="472"/>
        <v>0</v>
      </c>
      <c r="FZ87" s="48">
        <f t="shared" si="473"/>
        <v>0</v>
      </c>
      <c r="GA87" s="48">
        <f t="shared" si="474"/>
        <v>0</v>
      </c>
      <c r="GB87" s="48">
        <f t="shared" si="475"/>
        <v>0</v>
      </c>
      <c r="GC87" s="48">
        <f t="shared" si="476"/>
        <v>0</v>
      </c>
      <c r="GG87">
        <f t="shared" si="477"/>
        <v>0</v>
      </c>
    </row>
    <row r="88" spans="1:189" x14ac:dyDescent="0.25">
      <c r="A88" s="690"/>
      <c r="B88" s="690"/>
      <c r="C88" s="690"/>
      <c r="D88" s="690"/>
      <c r="E88" s="690"/>
      <c r="F88" s="690"/>
      <c r="G88" s="889"/>
      <c r="H88" s="690"/>
      <c r="I88" s="690"/>
      <c r="J88" s="690"/>
      <c r="K88" s="690"/>
      <c r="L88" s="690"/>
      <c r="M88" s="690"/>
      <c r="N88" s="507" t="str">
        <f t="shared" si="324"/>
        <v/>
      </c>
      <c r="O88" s="690"/>
      <c r="P88" s="507" t="str">
        <f t="shared" si="325"/>
        <v/>
      </c>
      <c r="Q88" s="690"/>
      <c r="R88" s="690"/>
      <c r="S88" s="690"/>
      <c r="T88" s="690"/>
      <c r="U88">
        <f t="shared" si="318"/>
        <v>0</v>
      </c>
      <c r="V88">
        <f t="shared" si="319"/>
        <v>0</v>
      </c>
      <c r="X88">
        <f t="shared" si="320"/>
        <v>0</v>
      </c>
      <c r="Y88">
        <f t="shared" si="321"/>
        <v>0</v>
      </c>
      <c r="Z88">
        <f t="shared" si="322"/>
        <v>0</v>
      </c>
      <c r="AA88">
        <f t="shared" si="323"/>
        <v>0</v>
      </c>
      <c r="AB88" s="25"/>
      <c r="AC88" s="25"/>
      <c r="AD88" s="25"/>
      <c r="AF88" s="48" t="s">
        <v>670</v>
      </c>
      <c r="AG88" s="689"/>
      <c r="AH88" s="689"/>
      <c r="AI88" s="48">
        <f t="shared" si="326"/>
        <v>0</v>
      </c>
      <c r="AJ88" s="48">
        <f t="shared" si="327"/>
        <v>0</v>
      </c>
      <c r="AK88" s="48">
        <f t="shared" si="328"/>
        <v>0</v>
      </c>
      <c r="AL88" s="48">
        <f t="shared" si="329"/>
        <v>0</v>
      </c>
      <c r="AM88" s="48">
        <f t="shared" si="330"/>
        <v>0</v>
      </c>
      <c r="AN88" s="48">
        <f t="shared" si="331"/>
        <v>0</v>
      </c>
      <c r="AO88" s="48">
        <f t="shared" si="332"/>
        <v>0</v>
      </c>
      <c r="AP88" s="48">
        <f t="shared" si="333"/>
        <v>0</v>
      </c>
      <c r="AQ88" s="48">
        <f t="shared" si="334"/>
        <v>0</v>
      </c>
      <c r="AR88" s="48">
        <f t="shared" si="335"/>
        <v>0</v>
      </c>
      <c r="AS88" s="48">
        <f t="shared" si="336"/>
        <v>0</v>
      </c>
      <c r="AT88" s="48">
        <f t="shared" si="337"/>
        <v>0</v>
      </c>
      <c r="AU88" s="48">
        <f t="shared" si="338"/>
        <v>0</v>
      </c>
      <c r="AV88" s="48">
        <f t="shared" si="339"/>
        <v>0</v>
      </c>
      <c r="AW88" s="48">
        <f t="shared" si="340"/>
        <v>0</v>
      </c>
      <c r="AX88" s="48">
        <f t="shared" si="341"/>
        <v>0</v>
      </c>
      <c r="AY88" s="48">
        <f t="shared" si="342"/>
        <v>0</v>
      </c>
      <c r="AZ88" s="48">
        <f t="shared" si="343"/>
        <v>0</v>
      </c>
      <c r="BA88" s="48">
        <f t="shared" si="344"/>
        <v>0</v>
      </c>
      <c r="BB88" s="48">
        <f t="shared" si="345"/>
        <v>0</v>
      </c>
      <c r="BC88" s="48">
        <f t="shared" si="346"/>
        <v>0</v>
      </c>
      <c r="BD88" s="48">
        <f t="shared" si="347"/>
        <v>0</v>
      </c>
      <c r="BE88" s="48">
        <f t="shared" si="348"/>
        <v>0</v>
      </c>
      <c r="BF88" s="48">
        <f t="shared" si="349"/>
        <v>0</v>
      </c>
      <c r="BG88" s="48">
        <f t="shared" si="350"/>
        <v>0</v>
      </c>
      <c r="BH88" s="48">
        <f t="shared" si="351"/>
        <v>0</v>
      </c>
      <c r="BI88" s="48">
        <f t="shared" si="352"/>
        <v>0</v>
      </c>
      <c r="BJ88" s="48">
        <f t="shared" si="353"/>
        <v>0</v>
      </c>
      <c r="BK88" s="48">
        <f t="shared" si="354"/>
        <v>0</v>
      </c>
      <c r="BL88" s="48">
        <f t="shared" si="355"/>
        <v>0</v>
      </c>
      <c r="BM88" s="48">
        <f t="shared" si="356"/>
        <v>0</v>
      </c>
      <c r="BN88" s="48">
        <f t="shared" si="357"/>
        <v>0</v>
      </c>
      <c r="BO88" s="48">
        <f t="shared" si="358"/>
        <v>0</v>
      </c>
      <c r="BP88" s="48">
        <f t="shared" si="359"/>
        <v>0</v>
      </c>
      <c r="BQ88" s="48">
        <f t="shared" si="360"/>
        <v>0</v>
      </c>
      <c r="BR88" s="48">
        <f t="shared" si="361"/>
        <v>0</v>
      </c>
      <c r="BS88" s="48">
        <f t="shared" si="362"/>
        <v>0</v>
      </c>
      <c r="BT88" s="48">
        <f t="shared" si="363"/>
        <v>0</v>
      </c>
      <c r="BU88" s="48">
        <f t="shared" si="364"/>
        <v>0</v>
      </c>
      <c r="BV88" s="48">
        <f t="shared" si="365"/>
        <v>0</v>
      </c>
      <c r="BW88" s="48">
        <f t="shared" si="366"/>
        <v>0</v>
      </c>
      <c r="BX88" s="48">
        <f t="shared" si="367"/>
        <v>0</v>
      </c>
      <c r="BY88" s="48">
        <f t="shared" si="368"/>
        <v>0</v>
      </c>
      <c r="BZ88" s="48">
        <f t="shared" si="369"/>
        <v>0</v>
      </c>
      <c r="CA88" s="48">
        <f t="shared" si="370"/>
        <v>0</v>
      </c>
      <c r="CB88" s="48">
        <f t="shared" si="371"/>
        <v>0</v>
      </c>
      <c r="CC88" s="48">
        <f t="shared" si="372"/>
        <v>0</v>
      </c>
      <c r="CD88" s="48">
        <f t="shared" si="373"/>
        <v>0</v>
      </c>
      <c r="CE88" s="48">
        <f t="shared" si="374"/>
        <v>0</v>
      </c>
      <c r="CF88" s="48">
        <f t="shared" si="375"/>
        <v>0</v>
      </c>
      <c r="CG88" s="48">
        <f t="shared" si="376"/>
        <v>0</v>
      </c>
      <c r="CH88" s="48">
        <f t="shared" si="377"/>
        <v>0</v>
      </c>
      <c r="CI88" s="48">
        <f t="shared" si="378"/>
        <v>0</v>
      </c>
      <c r="CJ88" s="48">
        <f t="shared" si="379"/>
        <v>0</v>
      </c>
      <c r="CK88" s="48">
        <f t="shared" si="380"/>
        <v>0</v>
      </c>
      <c r="CL88" s="48">
        <f t="shared" si="381"/>
        <v>0</v>
      </c>
      <c r="CM88" s="48">
        <f t="shared" si="382"/>
        <v>0</v>
      </c>
      <c r="CN88" s="48">
        <f t="shared" si="383"/>
        <v>0</v>
      </c>
      <c r="CO88" s="48">
        <f t="shared" si="384"/>
        <v>0</v>
      </c>
      <c r="CP88" s="48">
        <f t="shared" si="385"/>
        <v>0</v>
      </c>
      <c r="CQ88" s="48">
        <f t="shared" si="386"/>
        <v>0</v>
      </c>
      <c r="CR88" s="48">
        <f t="shared" si="387"/>
        <v>0</v>
      </c>
      <c r="CS88" s="48">
        <f t="shared" si="388"/>
        <v>0</v>
      </c>
      <c r="CT88" s="48">
        <f t="shared" si="389"/>
        <v>0</v>
      </c>
      <c r="CU88" s="48">
        <f t="shared" si="390"/>
        <v>0</v>
      </c>
      <c r="CV88" s="48">
        <f t="shared" si="391"/>
        <v>0</v>
      </c>
      <c r="CW88" s="48">
        <f t="shared" si="392"/>
        <v>0</v>
      </c>
      <c r="CX88" s="48">
        <f t="shared" si="393"/>
        <v>0</v>
      </c>
      <c r="CY88" s="48">
        <f t="shared" si="394"/>
        <v>0</v>
      </c>
      <c r="CZ88" s="48">
        <f t="shared" si="395"/>
        <v>0</v>
      </c>
      <c r="DA88" s="48">
        <f t="shared" si="396"/>
        <v>0</v>
      </c>
      <c r="DB88" s="48">
        <f t="shared" si="397"/>
        <v>0</v>
      </c>
      <c r="DC88" s="48">
        <f t="shared" si="398"/>
        <v>0</v>
      </c>
      <c r="DD88" s="48">
        <f t="shared" si="399"/>
        <v>0</v>
      </c>
      <c r="DE88" s="48">
        <f t="shared" si="400"/>
        <v>0</v>
      </c>
      <c r="DF88" s="48">
        <f t="shared" si="401"/>
        <v>0</v>
      </c>
      <c r="DG88" s="48">
        <f t="shared" si="402"/>
        <v>0</v>
      </c>
      <c r="DH88" s="48">
        <f t="shared" si="403"/>
        <v>0</v>
      </c>
      <c r="DI88" s="48">
        <f t="shared" si="404"/>
        <v>0</v>
      </c>
      <c r="DJ88" s="48">
        <f t="shared" si="405"/>
        <v>0</v>
      </c>
      <c r="DK88" s="48">
        <f t="shared" si="406"/>
        <v>0</v>
      </c>
      <c r="DL88" s="48">
        <f t="shared" si="407"/>
        <v>0</v>
      </c>
      <c r="DM88" s="48">
        <f t="shared" si="408"/>
        <v>0</v>
      </c>
      <c r="DN88" s="48">
        <f t="shared" si="409"/>
        <v>0</v>
      </c>
      <c r="DO88" s="48">
        <f t="shared" si="410"/>
        <v>0</v>
      </c>
      <c r="DP88" s="48">
        <f t="shared" si="411"/>
        <v>0</v>
      </c>
      <c r="DQ88" s="48">
        <f t="shared" si="412"/>
        <v>0</v>
      </c>
      <c r="DR88" s="48">
        <f t="shared" si="413"/>
        <v>0</v>
      </c>
      <c r="DS88" s="48">
        <f t="shared" si="414"/>
        <v>0</v>
      </c>
      <c r="DT88" s="48">
        <f t="shared" si="415"/>
        <v>0</v>
      </c>
      <c r="DU88" s="48">
        <f t="shared" si="416"/>
        <v>0</v>
      </c>
      <c r="DV88" s="48">
        <f t="shared" si="417"/>
        <v>0</v>
      </c>
      <c r="DW88" s="48">
        <f t="shared" si="418"/>
        <v>0</v>
      </c>
      <c r="DX88" s="48">
        <f t="shared" si="419"/>
        <v>0</v>
      </c>
      <c r="DY88" s="48">
        <f t="shared" si="420"/>
        <v>0</v>
      </c>
      <c r="DZ88" s="48">
        <f t="shared" si="421"/>
        <v>0</v>
      </c>
      <c r="EA88" s="48">
        <f t="shared" si="422"/>
        <v>0</v>
      </c>
      <c r="EB88" s="48">
        <f t="shared" si="423"/>
        <v>0</v>
      </c>
      <c r="EC88" s="48">
        <f t="shared" si="424"/>
        <v>0</v>
      </c>
      <c r="ED88" s="48">
        <f t="shared" si="425"/>
        <v>0</v>
      </c>
      <c r="EE88" s="48">
        <f t="shared" si="426"/>
        <v>0</v>
      </c>
      <c r="EF88" s="48">
        <f t="shared" si="427"/>
        <v>0</v>
      </c>
      <c r="EG88" s="48">
        <f t="shared" si="428"/>
        <v>0</v>
      </c>
      <c r="EH88" s="48">
        <f t="shared" si="429"/>
        <v>0</v>
      </c>
      <c r="EI88" s="48">
        <f t="shared" si="430"/>
        <v>0</v>
      </c>
      <c r="EJ88" s="48">
        <f t="shared" si="431"/>
        <v>0</v>
      </c>
      <c r="EK88" s="48">
        <f t="shared" si="432"/>
        <v>0</v>
      </c>
      <c r="EL88" s="48">
        <f t="shared" si="433"/>
        <v>0</v>
      </c>
      <c r="EM88" s="48">
        <f t="shared" si="434"/>
        <v>0</v>
      </c>
      <c r="EN88" s="48">
        <f t="shared" si="435"/>
        <v>0</v>
      </c>
      <c r="EO88" s="48">
        <f t="shared" si="436"/>
        <v>0</v>
      </c>
      <c r="EP88" s="48">
        <f t="shared" si="437"/>
        <v>0</v>
      </c>
      <c r="EQ88" s="48">
        <f t="shared" si="438"/>
        <v>0</v>
      </c>
      <c r="ER88" s="48">
        <f t="shared" si="439"/>
        <v>0</v>
      </c>
      <c r="ES88" s="48">
        <f t="shared" si="440"/>
        <v>0</v>
      </c>
      <c r="ET88" s="48">
        <f t="shared" si="441"/>
        <v>0</v>
      </c>
      <c r="EU88" s="48">
        <f t="shared" si="442"/>
        <v>0</v>
      </c>
      <c r="EV88" s="48">
        <f t="shared" si="443"/>
        <v>0</v>
      </c>
      <c r="EW88" s="48">
        <f t="shared" si="444"/>
        <v>0</v>
      </c>
      <c r="EX88" s="48">
        <f t="shared" si="445"/>
        <v>0</v>
      </c>
      <c r="EY88" s="48">
        <f t="shared" si="446"/>
        <v>0</v>
      </c>
      <c r="EZ88" s="48">
        <f t="shared" si="447"/>
        <v>0</v>
      </c>
      <c r="FA88" s="48">
        <f t="shared" si="448"/>
        <v>0</v>
      </c>
      <c r="FB88" s="48">
        <f t="shared" si="449"/>
        <v>0</v>
      </c>
      <c r="FC88" s="48">
        <f t="shared" si="450"/>
        <v>0</v>
      </c>
      <c r="FD88" s="48">
        <f t="shared" si="451"/>
        <v>0</v>
      </c>
      <c r="FE88" s="48">
        <f t="shared" si="452"/>
        <v>0</v>
      </c>
      <c r="FF88" s="48">
        <f t="shared" si="453"/>
        <v>0</v>
      </c>
      <c r="FG88" s="48">
        <f t="shared" si="454"/>
        <v>0</v>
      </c>
      <c r="FH88" s="48">
        <f t="shared" si="455"/>
        <v>0</v>
      </c>
      <c r="FI88" s="48">
        <f t="shared" si="456"/>
        <v>0</v>
      </c>
      <c r="FJ88" s="48">
        <f t="shared" si="457"/>
        <v>0</v>
      </c>
      <c r="FK88" s="48">
        <f t="shared" si="458"/>
        <v>0</v>
      </c>
      <c r="FL88" s="48">
        <f t="shared" si="459"/>
        <v>0</v>
      </c>
      <c r="FM88" s="48">
        <f t="shared" si="460"/>
        <v>0</v>
      </c>
      <c r="FN88" s="48">
        <f t="shared" si="461"/>
        <v>0</v>
      </c>
      <c r="FO88" s="48">
        <f t="shared" si="462"/>
        <v>0</v>
      </c>
      <c r="FP88" s="48">
        <f t="shared" si="463"/>
        <v>0</v>
      </c>
      <c r="FQ88" s="48">
        <f t="shared" si="464"/>
        <v>0</v>
      </c>
      <c r="FR88" s="48">
        <f t="shared" si="465"/>
        <v>0</v>
      </c>
      <c r="FS88" s="48">
        <f t="shared" si="466"/>
        <v>0</v>
      </c>
      <c r="FT88" s="48">
        <f t="shared" si="467"/>
        <v>0</v>
      </c>
      <c r="FU88" s="48">
        <f t="shared" si="468"/>
        <v>0</v>
      </c>
      <c r="FV88" s="48">
        <f t="shared" si="469"/>
        <v>0</v>
      </c>
      <c r="FW88" s="48">
        <f t="shared" si="470"/>
        <v>0</v>
      </c>
      <c r="FX88" s="48">
        <f t="shared" si="471"/>
        <v>0</v>
      </c>
      <c r="FY88" s="48">
        <f t="shared" si="472"/>
        <v>0</v>
      </c>
      <c r="FZ88" s="48">
        <f t="shared" si="473"/>
        <v>0</v>
      </c>
      <c r="GA88" s="48">
        <f t="shared" si="474"/>
        <v>0</v>
      </c>
      <c r="GB88" s="48">
        <f t="shared" si="475"/>
        <v>0</v>
      </c>
      <c r="GC88" s="48">
        <f t="shared" si="476"/>
        <v>0</v>
      </c>
      <c r="GG88">
        <f t="shared" si="477"/>
        <v>0</v>
      </c>
    </row>
    <row r="89" spans="1:189" x14ac:dyDescent="0.25">
      <c r="A89" s="690"/>
      <c r="B89" s="690"/>
      <c r="C89" s="690"/>
      <c r="D89" s="690"/>
      <c r="E89" s="690"/>
      <c r="F89" s="690"/>
      <c r="G89" s="889"/>
      <c r="H89" s="690"/>
      <c r="I89" s="690"/>
      <c r="J89" s="690"/>
      <c r="K89" s="690"/>
      <c r="L89" s="690"/>
      <c r="M89" s="690"/>
      <c r="N89" s="507" t="str">
        <f t="shared" si="324"/>
        <v/>
      </c>
      <c r="O89" s="690"/>
      <c r="P89" s="507" t="str">
        <f t="shared" si="325"/>
        <v/>
      </c>
      <c r="Q89" s="690"/>
      <c r="R89" s="690"/>
      <c r="S89" s="690"/>
      <c r="T89" s="690"/>
      <c r="U89">
        <f t="shared" si="318"/>
        <v>0</v>
      </c>
      <c r="V89">
        <f t="shared" si="319"/>
        <v>0</v>
      </c>
      <c r="X89">
        <f t="shared" si="320"/>
        <v>0</v>
      </c>
      <c r="Y89">
        <f t="shared" si="321"/>
        <v>0</v>
      </c>
      <c r="Z89">
        <f t="shared" si="322"/>
        <v>0</v>
      </c>
      <c r="AA89">
        <f t="shared" si="323"/>
        <v>0</v>
      </c>
      <c r="AB89" s="25"/>
      <c r="AC89" s="25"/>
      <c r="AD89" s="25"/>
      <c r="AF89" s="48" t="s">
        <v>672</v>
      </c>
      <c r="AG89" s="689"/>
      <c r="AH89" s="689"/>
      <c r="AI89" s="48">
        <f t="shared" si="326"/>
        <v>0</v>
      </c>
      <c r="AJ89" s="48">
        <f t="shared" si="327"/>
        <v>0</v>
      </c>
      <c r="AK89" s="48">
        <f t="shared" si="328"/>
        <v>0</v>
      </c>
      <c r="AL89" s="48">
        <f t="shared" si="329"/>
        <v>0</v>
      </c>
      <c r="AM89" s="48">
        <f t="shared" si="330"/>
        <v>0</v>
      </c>
      <c r="AN89" s="48">
        <f t="shared" si="331"/>
        <v>0</v>
      </c>
      <c r="AO89" s="48">
        <f t="shared" si="332"/>
        <v>0</v>
      </c>
      <c r="AP89" s="48">
        <f t="shared" si="333"/>
        <v>0</v>
      </c>
      <c r="AQ89" s="48">
        <f t="shared" si="334"/>
        <v>0</v>
      </c>
      <c r="AR89" s="48">
        <f t="shared" si="335"/>
        <v>0</v>
      </c>
      <c r="AS89" s="48">
        <f t="shared" si="336"/>
        <v>0</v>
      </c>
      <c r="AT89" s="48">
        <f t="shared" si="337"/>
        <v>0</v>
      </c>
      <c r="AU89" s="48">
        <f t="shared" si="338"/>
        <v>0</v>
      </c>
      <c r="AV89" s="48">
        <f t="shared" si="339"/>
        <v>0</v>
      </c>
      <c r="AW89" s="48">
        <f t="shared" si="340"/>
        <v>0</v>
      </c>
      <c r="AX89" s="48">
        <f t="shared" si="341"/>
        <v>0</v>
      </c>
      <c r="AY89" s="48">
        <f t="shared" si="342"/>
        <v>0</v>
      </c>
      <c r="AZ89" s="48">
        <f t="shared" si="343"/>
        <v>0</v>
      </c>
      <c r="BA89" s="48">
        <f t="shared" si="344"/>
        <v>0</v>
      </c>
      <c r="BB89" s="48">
        <f t="shared" si="345"/>
        <v>0</v>
      </c>
      <c r="BC89" s="48">
        <f t="shared" si="346"/>
        <v>0</v>
      </c>
      <c r="BD89" s="48">
        <f t="shared" si="347"/>
        <v>0</v>
      </c>
      <c r="BE89" s="48">
        <f t="shared" si="348"/>
        <v>0</v>
      </c>
      <c r="BF89" s="48">
        <f t="shared" si="349"/>
        <v>0</v>
      </c>
      <c r="BG89" s="48">
        <f t="shared" si="350"/>
        <v>0</v>
      </c>
      <c r="BH89" s="48">
        <f t="shared" si="351"/>
        <v>0</v>
      </c>
      <c r="BI89" s="48">
        <f t="shared" si="352"/>
        <v>0</v>
      </c>
      <c r="BJ89" s="48">
        <f t="shared" si="353"/>
        <v>0</v>
      </c>
      <c r="BK89" s="48">
        <f t="shared" si="354"/>
        <v>0</v>
      </c>
      <c r="BL89" s="48">
        <f t="shared" si="355"/>
        <v>0</v>
      </c>
      <c r="BM89" s="48">
        <f t="shared" si="356"/>
        <v>0</v>
      </c>
      <c r="BN89" s="48">
        <f t="shared" si="357"/>
        <v>0</v>
      </c>
      <c r="BO89" s="48">
        <f t="shared" si="358"/>
        <v>0</v>
      </c>
      <c r="BP89" s="48">
        <f t="shared" si="359"/>
        <v>0</v>
      </c>
      <c r="BQ89" s="48">
        <f t="shared" si="360"/>
        <v>0</v>
      </c>
      <c r="BR89" s="48">
        <f t="shared" si="361"/>
        <v>0</v>
      </c>
      <c r="BS89" s="48">
        <f t="shared" si="362"/>
        <v>0</v>
      </c>
      <c r="BT89" s="48">
        <f t="shared" si="363"/>
        <v>0</v>
      </c>
      <c r="BU89" s="48">
        <f t="shared" si="364"/>
        <v>0</v>
      </c>
      <c r="BV89" s="48">
        <f t="shared" si="365"/>
        <v>0</v>
      </c>
      <c r="BW89" s="48">
        <f t="shared" si="366"/>
        <v>0</v>
      </c>
      <c r="BX89" s="48">
        <f t="shared" si="367"/>
        <v>0</v>
      </c>
      <c r="BY89" s="48">
        <f t="shared" si="368"/>
        <v>0</v>
      </c>
      <c r="BZ89" s="48">
        <f t="shared" si="369"/>
        <v>0</v>
      </c>
      <c r="CA89" s="48">
        <f t="shared" si="370"/>
        <v>0</v>
      </c>
      <c r="CB89" s="48">
        <f t="shared" si="371"/>
        <v>0</v>
      </c>
      <c r="CC89" s="48">
        <f t="shared" si="372"/>
        <v>0</v>
      </c>
      <c r="CD89" s="48">
        <f t="shared" si="373"/>
        <v>0</v>
      </c>
      <c r="CE89" s="48">
        <f t="shared" si="374"/>
        <v>0</v>
      </c>
      <c r="CF89" s="48">
        <f t="shared" si="375"/>
        <v>0</v>
      </c>
      <c r="CG89" s="48">
        <f t="shared" si="376"/>
        <v>0</v>
      </c>
      <c r="CH89" s="48">
        <f t="shared" si="377"/>
        <v>0</v>
      </c>
      <c r="CI89" s="48">
        <f t="shared" si="378"/>
        <v>0</v>
      </c>
      <c r="CJ89" s="48">
        <f t="shared" si="379"/>
        <v>0</v>
      </c>
      <c r="CK89" s="48">
        <f t="shared" si="380"/>
        <v>0</v>
      </c>
      <c r="CL89" s="48">
        <f t="shared" si="381"/>
        <v>0</v>
      </c>
      <c r="CM89" s="48">
        <f t="shared" si="382"/>
        <v>0</v>
      </c>
      <c r="CN89" s="48">
        <f t="shared" si="383"/>
        <v>0</v>
      </c>
      <c r="CO89" s="48">
        <f t="shared" si="384"/>
        <v>0</v>
      </c>
      <c r="CP89" s="48">
        <f t="shared" si="385"/>
        <v>0</v>
      </c>
      <c r="CQ89" s="48">
        <f t="shared" si="386"/>
        <v>0</v>
      </c>
      <c r="CR89" s="48">
        <f t="shared" si="387"/>
        <v>0</v>
      </c>
      <c r="CS89" s="48">
        <f t="shared" si="388"/>
        <v>0</v>
      </c>
      <c r="CT89" s="48">
        <f t="shared" si="389"/>
        <v>0</v>
      </c>
      <c r="CU89" s="48">
        <f t="shared" si="390"/>
        <v>0</v>
      </c>
      <c r="CV89" s="48">
        <f t="shared" si="391"/>
        <v>0</v>
      </c>
      <c r="CW89" s="48">
        <f t="shared" si="392"/>
        <v>0</v>
      </c>
      <c r="CX89" s="48">
        <f t="shared" si="393"/>
        <v>0</v>
      </c>
      <c r="CY89" s="48">
        <f t="shared" si="394"/>
        <v>0</v>
      </c>
      <c r="CZ89" s="48">
        <f t="shared" si="395"/>
        <v>0</v>
      </c>
      <c r="DA89" s="48">
        <f t="shared" si="396"/>
        <v>0</v>
      </c>
      <c r="DB89" s="48">
        <f t="shared" si="397"/>
        <v>0</v>
      </c>
      <c r="DC89" s="48">
        <f t="shared" si="398"/>
        <v>0</v>
      </c>
      <c r="DD89" s="48">
        <f t="shared" si="399"/>
        <v>0</v>
      </c>
      <c r="DE89" s="48">
        <f t="shared" si="400"/>
        <v>0</v>
      </c>
      <c r="DF89" s="48">
        <f t="shared" si="401"/>
        <v>0</v>
      </c>
      <c r="DG89" s="48">
        <f t="shared" si="402"/>
        <v>0</v>
      </c>
      <c r="DH89" s="48">
        <f t="shared" si="403"/>
        <v>0</v>
      </c>
      <c r="DI89" s="48">
        <f t="shared" si="404"/>
        <v>0</v>
      </c>
      <c r="DJ89" s="48">
        <f t="shared" si="405"/>
        <v>0</v>
      </c>
      <c r="DK89" s="48">
        <f t="shared" si="406"/>
        <v>0</v>
      </c>
      <c r="DL89" s="48">
        <f t="shared" si="407"/>
        <v>0</v>
      </c>
      <c r="DM89" s="48">
        <f t="shared" si="408"/>
        <v>0</v>
      </c>
      <c r="DN89" s="48">
        <f t="shared" si="409"/>
        <v>0</v>
      </c>
      <c r="DO89" s="48">
        <f t="shared" si="410"/>
        <v>0</v>
      </c>
      <c r="DP89" s="48">
        <f t="shared" si="411"/>
        <v>0</v>
      </c>
      <c r="DQ89" s="48">
        <f t="shared" si="412"/>
        <v>0</v>
      </c>
      <c r="DR89" s="48">
        <f t="shared" si="413"/>
        <v>0</v>
      </c>
      <c r="DS89" s="48">
        <f t="shared" si="414"/>
        <v>0</v>
      </c>
      <c r="DT89" s="48">
        <f t="shared" si="415"/>
        <v>0</v>
      </c>
      <c r="DU89" s="48">
        <f t="shared" si="416"/>
        <v>0</v>
      </c>
      <c r="DV89" s="48">
        <f t="shared" si="417"/>
        <v>0</v>
      </c>
      <c r="DW89" s="48">
        <f t="shared" si="418"/>
        <v>0</v>
      </c>
      <c r="DX89" s="48">
        <f t="shared" si="419"/>
        <v>0</v>
      </c>
      <c r="DY89" s="48">
        <f t="shared" si="420"/>
        <v>0</v>
      </c>
      <c r="DZ89" s="48">
        <f t="shared" si="421"/>
        <v>0</v>
      </c>
      <c r="EA89" s="48">
        <f t="shared" si="422"/>
        <v>0</v>
      </c>
      <c r="EB89" s="48">
        <f t="shared" si="423"/>
        <v>0</v>
      </c>
      <c r="EC89" s="48">
        <f t="shared" si="424"/>
        <v>0</v>
      </c>
      <c r="ED89" s="48">
        <f t="shared" si="425"/>
        <v>0</v>
      </c>
      <c r="EE89" s="48">
        <f t="shared" si="426"/>
        <v>0</v>
      </c>
      <c r="EF89" s="48">
        <f t="shared" si="427"/>
        <v>0</v>
      </c>
      <c r="EG89" s="48">
        <f t="shared" si="428"/>
        <v>0</v>
      </c>
      <c r="EH89" s="48">
        <f t="shared" si="429"/>
        <v>0</v>
      </c>
      <c r="EI89" s="48">
        <f t="shared" si="430"/>
        <v>0</v>
      </c>
      <c r="EJ89" s="48">
        <f t="shared" si="431"/>
        <v>0</v>
      </c>
      <c r="EK89" s="48">
        <f t="shared" si="432"/>
        <v>0</v>
      </c>
      <c r="EL89" s="48">
        <f t="shared" si="433"/>
        <v>0</v>
      </c>
      <c r="EM89" s="48">
        <f t="shared" si="434"/>
        <v>0</v>
      </c>
      <c r="EN89" s="48">
        <f t="shared" si="435"/>
        <v>0</v>
      </c>
      <c r="EO89" s="48">
        <f t="shared" si="436"/>
        <v>0</v>
      </c>
      <c r="EP89" s="48">
        <f t="shared" si="437"/>
        <v>0</v>
      </c>
      <c r="EQ89" s="48">
        <f t="shared" si="438"/>
        <v>0</v>
      </c>
      <c r="ER89" s="48">
        <f t="shared" si="439"/>
        <v>0</v>
      </c>
      <c r="ES89" s="48">
        <f t="shared" si="440"/>
        <v>0</v>
      </c>
      <c r="ET89" s="48">
        <f t="shared" si="441"/>
        <v>0</v>
      </c>
      <c r="EU89" s="48">
        <f t="shared" si="442"/>
        <v>0</v>
      </c>
      <c r="EV89" s="48">
        <f t="shared" si="443"/>
        <v>0</v>
      </c>
      <c r="EW89" s="48">
        <f t="shared" si="444"/>
        <v>0</v>
      </c>
      <c r="EX89" s="48">
        <f t="shared" si="445"/>
        <v>0</v>
      </c>
      <c r="EY89" s="48">
        <f t="shared" si="446"/>
        <v>0</v>
      </c>
      <c r="EZ89" s="48">
        <f t="shared" si="447"/>
        <v>0</v>
      </c>
      <c r="FA89" s="48">
        <f t="shared" si="448"/>
        <v>0</v>
      </c>
      <c r="FB89" s="48">
        <f t="shared" si="449"/>
        <v>0</v>
      </c>
      <c r="FC89" s="48">
        <f t="shared" si="450"/>
        <v>0</v>
      </c>
      <c r="FD89" s="48">
        <f t="shared" si="451"/>
        <v>0</v>
      </c>
      <c r="FE89" s="48">
        <f t="shared" si="452"/>
        <v>0</v>
      </c>
      <c r="FF89" s="48">
        <f t="shared" si="453"/>
        <v>0</v>
      </c>
      <c r="FG89" s="48">
        <f t="shared" si="454"/>
        <v>0</v>
      </c>
      <c r="FH89" s="48">
        <f t="shared" si="455"/>
        <v>0</v>
      </c>
      <c r="FI89" s="48">
        <f t="shared" si="456"/>
        <v>0</v>
      </c>
      <c r="FJ89" s="48">
        <f t="shared" si="457"/>
        <v>0</v>
      </c>
      <c r="FK89" s="48">
        <f t="shared" si="458"/>
        <v>0</v>
      </c>
      <c r="FL89" s="48">
        <f t="shared" si="459"/>
        <v>0</v>
      </c>
      <c r="FM89" s="48">
        <f t="shared" si="460"/>
        <v>0</v>
      </c>
      <c r="FN89" s="48">
        <f t="shared" si="461"/>
        <v>0</v>
      </c>
      <c r="FO89" s="48">
        <f t="shared" si="462"/>
        <v>0</v>
      </c>
      <c r="FP89" s="48">
        <f t="shared" si="463"/>
        <v>0</v>
      </c>
      <c r="FQ89" s="48">
        <f t="shared" si="464"/>
        <v>0</v>
      </c>
      <c r="FR89" s="48">
        <f t="shared" si="465"/>
        <v>0</v>
      </c>
      <c r="FS89" s="48">
        <f t="shared" si="466"/>
        <v>0</v>
      </c>
      <c r="FT89" s="48">
        <f t="shared" si="467"/>
        <v>0</v>
      </c>
      <c r="FU89" s="48">
        <f t="shared" si="468"/>
        <v>0</v>
      </c>
      <c r="FV89" s="48">
        <f t="shared" si="469"/>
        <v>0</v>
      </c>
      <c r="FW89" s="48">
        <f t="shared" si="470"/>
        <v>0</v>
      </c>
      <c r="FX89" s="48">
        <f t="shared" si="471"/>
        <v>0</v>
      </c>
      <c r="FY89" s="48">
        <f t="shared" si="472"/>
        <v>0</v>
      </c>
      <c r="FZ89" s="48">
        <f t="shared" si="473"/>
        <v>0</v>
      </c>
      <c r="GA89" s="48">
        <f t="shared" si="474"/>
        <v>0</v>
      </c>
      <c r="GB89" s="48">
        <f t="shared" si="475"/>
        <v>0</v>
      </c>
      <c r="GC89" s="48">
        <f t="shared" si="476"/>
        <v>0</v>
      </c>
      <c r="GG89">
        <f t="shared" si="477"/>
        <v>0</v>
      </c>
    </row>
    <row r="90" spans="1:189" x14ac:dyDescent="0.25">
      <c r="A90" s="690"/>
      <c r="B90" s="690"/>
      <c r="C90" s="690"/>
      <c r="D90" s="690"/>
      <c r="E90" s="690"/>
      <c r="F90" s="690"/>
      <c r="G90" s="889"/>
      <c r="H90" s="690"/>
      <c r="I90" s="690"/>
      <c r="J90" s="690"/>
      <c r="K90" s="690"/>
      <c r="L90" s="690"/>
      <c r="M90" s="690"/>
      <c r="N90" s="507" t="str">
        <f t="shared" si="324"/>
        <v/>
      </c>
      <c r="O90" s="690"/>
      <c r="P90" s="507" t="str">
        <f t="shared" si="325"/>
        <v/>
      </c>
      <c r="Q90" s="690"/>
      <c r="R90" s="690"/>
      <c r="S90" s="690"/>
      <c r="T90" s="690"/>
      <c r="U90">
        <f t="shared" si="318"/>
        <v>0</v>
      </c>
      <c r="V90">
        <f t="shared" si="319"/>
        <v>0</v>
      </c>
      <c r="X90">
        <f t="shared" si="320"/>
        <v>0</v>
      </c>
      <c r="Y90">
        <f t="shared" si="321"/>
        <v>0</v>
      </c>
      <c r="Z90">
        <f t="shared" si="322"/>
        <v>0</v>
      </c>
      <c r="AA90">
        <f t="shared" si="323"/>
        <v>0</v>
      </c>
      <c r="AB90" s="25"/>
      <c r="AC90" s="25"/>
      <c r="AD90" s="25"/>
      <c r="AF90" s="48"/>
      <c r="AG90" s="689"/>
      <c r="AH90" s="689"/>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48"/>
      <c r="EK90" s="48"/>
      <c r="EL90" s="48"/>
      <c r="EM90" s="48"/>
      <c r="EN90" s="48"/>
      <c r="EO90" s="48"/>
      <c r="EP90" s="48"/>
      <c r="EQ90" s="48"/>
      <c r="ER90" s="48"/>
      <c r="ES90" s="48"/>
      <c r="ET90" s="48"/>
      <c r="EU90" s="48"/>
      <c r="EV90" s="48"/>
      <c r="EW90" s="48"/>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row>
    <row r="91" spans="1:189" x14ac:dyDescent="0.25">
      <c r="A91" s="690"/>
      <c r="B91" s="690"/>
      <c r="C91" s="690"/>
      <c r="D91" s="690"/>
      <c r="E91" s="690"/>
      <c r="F91" s="690"/>
      <c r="G91" s="889"/>
      <c r="H91" s="690"/>
      <c r="I91" s="690"/>
      <c r="J91" s="690"/>
      <c r="K91" s="690"/>
      <c r="L91" s="690"/>
      <c r="M91" s="690"/>
      <c r="N91" s="507" t="str">
        <f t="shared" si="324"/>
        <v/>
      </c>
      <c r="O91" s="690"/>
      <c r="P91" s="507" t="str">
        <f t="shared" si="325"/>
        <v/>
      </c>
      <c r="Q91" s="690"/>
      <c r="R91" s="690"/>
      <c r="S91" s="690"/>
      <c r="T91" s="690"/>
      <c r="U91">
        <f t="shared" si="318"/>
        <v>0</v>
      </c>
      <c r="V91">
        <f t="shared" si="319"/>
        <v>0</v>
      </c>
      <c r="X91">
        <f t="shared" si="320"/>
        <v>0</v>
      </c>
      <c r="Y91">
        <f t="shared" si="321"/>
        <v>0</v>
      </c>
      <c r="Z91">
        <f t="shared" si="322"/>
        <v>0</v>
      </c>
      <c r="AA91">
        <f t="shared" si="323"/>
        <v>0</v>
      </c>
      <c r="AB91" s="25"/>
      <c r="AC91" s="25"/>
      <c r="AD91" s="25"/>
      <c r="AF91" s="48"/>
      <c r="AG91" s="689"/>
      <c r="AH91" s="689"/>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48"/>
      <c r="EK91" s="48"/>
      <c r="EL91" s="48"/>
      <c r="EM91" s="48"/>
      <c r="EN91" s="48"/>
      <c r="EO91" s="48"/>
      <c r="EP91" s="48"/>
      <c r="EQ91" s="48"/>
      <c r="ER91" s="48"/>
      <c r="ES91" s="48"/>
      <c r="ET91" s="48"/>
      <c r="EU91" s="48"/>
      <c r="EV91" s="48"/>
      <c r="EW91" s="48"/>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row>
    <row r="92" spans="1:189" x14ac:dyDescent="0.25">
      <c r="A92" s="690"/>
      <c r="B92" s="690"/>
      <c r="C92" s="690"/>
      <c r="D92" s="690"/>
      <c r="E92" s="690"/>
      <c r="F92" s="690"/>
      <c r="G92" s="889"/>
      <c r="H92" s="690"/>
      <c r="I92" s="690"/>
      <c r="J92" s="690"/>
      <c r="K92" s="690"/>
      <c r="L92" s="690"/>
      <c r="M92" s="690"/>
      <c r="N92" s="507" t="str">
        <f t="shared" si="324"/>
        <v/>
      </c>
      <c r="O92" s="690"/>
      <c r="P92" s="507" t="str">
        <f t="shared" si="325"/>
        <v/>
      </c>
      <c r="Q92" s="690"/>
      <c r="R92" s="690"/>
      <c r="S92" s="690"/>
      <c r="T92" s="690"/>
      <c r="U92">
        <f t="shared" si="318"/>
        <v>0</v>
      </c>
      <c r="V92">
        <f t="shared" si="319"/>
        <v>0</v>
      </c>
      <c r="X92">
        <f t="shared" si="320"/>
        <v>0</v>
      </c>
      <c r="Y92">
        <f t="shared" si="321"/>
        <v>0</v>
      </c>
      <c r="Z92">
        <f t="shared" si="322"/>
        <v>0</v>
      </c>
      <c r="AA92">
        <f t="shared" si="323"/>
        <v>0</v>
      </c>
      <c r="AB92" s="25"/>
      <c r="AC92" s="25"/>
      <c r="AD92" s="25"/>
      <c r="AF92" s="48"/>
      <c r="AG92" s="689"/>
      <c r="AH92" s="689"/>
      <c r="AI92" s="689"/>
      <c r="AJ92" s="689"/>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48"/>
      <c r="EK92" s="48"/>
      <c r="EL92" s="48"/>
      <c r="EM92" s="48"/>
      <c r="EN92" s="48"/>
      <c r="EO92" s="48"/>
      <c r="EP92" s="48"/>
      <c r="EQ92" s="48"/>
      <c r="ER92" s="48"/>
      <c r="ES92" s="48"/>
      <c r="ET92" s="48"/>
      <c r="EU92" s="48"/>
      <c r="EV92" s="48"/>
      <c r="EW92" s="48"/>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F92" t="s">
        <v>736</v>
      </c>
      <c r="GG92">
        <f>SUM(GG81:GG91)</f>
        <v>0</v>
      </c>
    </row>
    <row r="93" spans="1:189" x14ac:dyDescent="0.25">
      <c r="A93" s="690"/>
      <c r="B93" s="690"/>
      <c r="C93" s="690"/>
      <c r="D93" s="690"/>
      <c r="E93" s="690"/>
      <c r="F93" s="690"/>
      <c r="G93" s="889"/>
      <c r="H93" s="690"/>
      <c r="I93" s="690"/>
      <c r="J93" s="690"/>
      <c r="K93" s="690"/>
      <c r="L93" s="690"/>
      <c r="M93" s="690"/>
      <c r="N93" s="507" t="str">
        <f t="shared" si="324"/>
        <v/>
      </c>
      <c r="O93" s="690"/>
      <c r="P93" s="507" t="str">
        <f t="shared" si="325"/>
        <v/>
      </c>
      <c r="Q93" s="690"/>
      <c r="R93" s="690"/>
      <c r="S93" s="690"/>
      <c r="T93" s="690"/>
      <c r="U93">
        <f t="shared" si="318"/>
        <v>0</v>
      </c>
      <c r="V93">
        <f t="shared" si="319"/>
        <v>0</v>
      </c>
      <c r="X93">
        <f t="shared" si="320"/>
        <v>0</v>
      </c>
      <c r="Y93">
        <f t="shared" si="321"/>
        <v>0</v>
      </c>
      <c r="Z93">
        <f t="shared" si="322"/>
        <v>0</v>
      </c>
      <c r="AA93">
        <f t="shared" si="323"/>
        <v>0</v>
      </c>
      <c r="AB93" s="25"/>
      <c r="AC93" s="25"/>
      <c r="AD93" s="25"/>
      <c r="AF93" s="48"/>
      <c r="AG93" s="689"/>
      <c r="AH93" s="689"/>
      <c r="AI93" s="689"/>
      <c r="AJ93" s="689"/>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48"/>
      <c r="EK93" s="48"/>
      <c r="EL93" s="48"/>
      <c r="EM93" s="48"/>
      <c r="EN93" s="48"/>
      <c r="EO93" s="48"/>
      <c r="EP93" s="48"/>
      <c r="EQ93" s="48"/>
      <c r="ER93" s="48"/>
      <c r="ES93" s="48"/>
      <c r="ET93" s="48"/>
      <c r="EU93" s="48"/>
      <c r="EV93" s="48"/>
      <c r="EW93" s="48"/>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row>
    <row r="94" spans="1:189" x14ac:dyDescent="0.25">
      <c r="A94" s="690"/>
      <c r="B94" s="690"/>
      <c r="C94" s="690"/>
      <c r="D94" s="690"/>
      <c r="E94" s="690"/>
      <c r="F94" s="690"/>
      <c r="G94" s="889"/>
      <c r="H94" s="690"/>
      <c r="I94" s="690"/>
      <c r="J94" s="690"/>
      <c r="K94" s="690"/>
      <c r="L94" s="690"/>
      <c r="M94" s="690"/>
      <c r="N94" s="507" t="str">
        <f t="shared" si="324"/>
        <v/>
      </c>
      <c r="O94" s="690"/>
      <c r="P94" s="507" t="str">
        <f t="shared" si="325"/>
        <v/>
      </c>
      <c r="Q94" s="690"/>
      <c r="R94" s="690"/>
      <c r="S94" s="690"/>
      <c r="T94" s="690"/>
      <c r="U94">
        <f t="shared" si="318"/>
        <v>0</v>
      </c>
      <c r="V94">
        <f t="shared" si="319"/>
        <v>0</v>
      </c>
      <c r="X94">
        <f t="shared" si="320"/>
        <v>0</v>
      </c>
      <c r="Y94">
        <f t="shared" si="321"/>
        <v>0</v>
      </c>
      <c r="Z94">
        <f t="shared" si="322"/>
        <v>0</v>
      </c>
      <c r="AA94">
        <f t="shared" si="323"/>
        <v>0</v>
      </c>
      <c r="AB94" s="25"/>
      <c r="AC94" s="25"/>
      <c r="AD94" s="25"/>
      <c r="AF94" s="48"/>
      <c r="AG94" s="689"/>
      <c r="AH94" s="689"/>
      <c r="AI94" s="689"/>
      <c r="AJ94" s="689"/>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48"/>
      <c r="EK94" s="48"/>
      <c r="EL94" s="48"/>
      <c r="EM94" s="48"/>
      <c r="EN94" s="48"/>
      <c r="EO94" s="48"/>
      <c r="EP94" s="48"/>
      <c r="EQ94" s="48"/>
      <c r="ER94" s="48"/>
      <c r="ES94" s="48"/>
      <c r="ET94" s="48"/>
      <c r="EU94" s="48"/>
      <c r="EV94" s="48"/>
      <c r="EW94" s="48"/>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row>
    <row r="95" spans="1:189" x14ac:dyDescent="0.25">
      <c r="A95" s="690"/>
      <c r="B95" s="690"/>
      <c r="C95" s="690"/>
      <c r="D95" s="690"/>
      <c r="E95" s="690"/>
      <c r="F95" s="690"/>
      <c r="G95" s="889"/>
      <c r="H95" s="690"/>
      <c r="I95" s="690"/>
      <c r="J95" s="690"/>
      <c r="K95" s="690"/>
      <c r="L95" s="690"/>
      <c r="M95" s="690"/>
      <c r="N95" s="507" t="str">
        <f t="shared" si="324"/>
        <v/>
      </c>
      <c r="O95" s="690"/>
      <c r="P95" s="507" t="str">
        <f t="shared" si="325"/>
        <v/>
      </c>
      <c r="Q95" s="690"/>
      <c r="R95" s="690"/>
      <c r="S95" s="690"/>
      <c r="T95" s="690"/>
      <c r="U95">
        <f t="shared" si="318"/>
        <v>0</v>
      </c>
      <c r="V95">
        <f t="shared" si="319"/>
        <v>0</v>
      </c>
      <c r="X95">
        <f t="shared" si="320"/>
        <v>0</v>
      </c>
      <c r="Y95">
        <f t="shared" si="321"/>
        <v>0</v>
      </c>
      <c r="Z95">
        <f t="shared" si="322"/>
        <v>0</v>
      </c>
      <c r="AA95">
        <f t="shared" si="323"/>
        <v>0</v>
      </c>
      <c r="AB95" s="25"/>
      <c r="AC95" s="25"/>
      <c r="AD95" s="25"/>
      <c r="AF95" s="48"/>
      <c r="AG95" s="689"/>
      <c r="AH95" s="689"/>
      <c r="AI95" s="689"/>
      <c r="AJ95" s="689"/>
      <c r="AK95" s="689"/>
      <c r="AM95" s="16"/>
    </row>
    <row r="96" spans="1:189" x14ac:dyDescent="0.25">
      <c r="A96" s="690"/>
      <c r="B96" s="690"/>
      <c r="C96" s="690"/>
      <c r="D96" s="690"/>
      <c r="E96" s="690"/>
      <c r="F96" s="690"/>
      <c r="G96" s="889"/>
      <c r="H96" s="690"/>
      <c r="I96" s="690"/>
      <c r="J96" s="690"/>
      <c r="K96" s="690"/>
      <c r="L96" s="690"/>
      <c r="M96" s="690"/>
      <c r="N96" s="507" t="str">
        <f t="shared" si="324"/>
        <v/>
      </c>
      <c r="O96" s="690"/>
      <c r="P96" s="507" t="str">
        <f t="shared" si="325"/>
        <v/>
      </c>
      <c r="Q96" s="690"/>
      <c r="R96" s="690"/>
      <c r="S96" s="690"/>
      <c r="T96" s="690"/>
      <c r="U96">
        <f t="shared" si="318"/>
        <v>0</v>
      </c>
      <c r="V96">
        <f t="shared" si="319"/>
        <v>0</v>
      </c>
      <c r="X96">
        <f t="shared" si="320"/>
        <v>0</v>
      </c>
      <c r="Y96">
        <f t="shared" si="321"/>
        <v>0</v>
      </c>
      <c r="Z96">
        <f t="shared" si="322"/>
        <v>0</v>
      </c>
      <c r="AA96">
        <f t="shared" si="323"/>
        <v>0</v>
      </c>
      <c r="AB96" s="25"/>
      <c r="AC96" s="25"/>
      <c r="AD96" s="25"/>
      <c r="AF96" s="48"/>
      <c r="AG96" s="689"/>
      <c r="AH96" s="689"/>
      <c r="AI96" s="689"/>
      <c r="AJ96" s="689"/>
      <c r="AK96" s="689"/>
      <c r="AM96" s="16"/>
    </row>
    <row r="97" spans="1:39" x14ac:dyDescent="0.25">
      <c r="A97" s="690"/>
      <c r="B97" s="690"/>
      <c r="C97" s="690"/>
      <c r="D97" s="690"/>
      <c r="E97" s="690"/>
      <c r="F97" s="690"/>
      <c r="G97" s="889"/>
      <c r="H97" s="690"/>
      <c r="I97" s="690"/>
      <c r="J97" s="690"/>
      <c r="K97" s="690"/>
      <c r="L97" s="690"/>
      <c r="M97" s="690"/>
      <c r="N97" s="507" t="str">
        <f t="shared" si="324"/>
        <v/>
      </c>
      <c r="O97" s="690"/>
      <c r="P97" s="507" t="str">
        <f t="shared" si="325"/>
        <v/>
      </c>
      <c r="Q97" s="690"/>
      <c r="R97" s="690"/>
      <c r="S97" s="690"/>
      <c r="T97" s="690"/>
      <c r="U97">
        <f t="shared" si="318"/>
        <v>0</v>
      </c>
      <c r="V97">
        <f t="shared" si="319"/>
        <v>0</v>
      </c>
      <c r="X97">
        <f t="shared" si="320"/>
        <v>0</v>
      </c>
      <c r="Y97">
        <f t="shared" si="321"/>
        <v>0</v>
      </c>
      <c r="Z97">
        <f t="shared" si="322"/>
        <v>0</v>
      </c>
      <c r="AA97">
        <f t="shared" si="323"/>
        <v>0</v>
      </c>
      <c r="AB97" s="25"/>
      <c r="AC97" s="25"/>
      <c r="AD97" s="25"/>
      <c r="AF97" s="48"/>
      <c r="AG97" s="689"/>
      <c r="AH97" s="689"/>
      <c r="AI97" s="689"/>
      <c r="AJ97" s="689"/>
      <c r="AK97" s="689"/>
      <c r="AM97" s="16"/>
    </row>
    <row r="98" spans="1:39" x14ac:dyDescent="0.25">
      <c r="A98" s="690"/>
      <c r="B98" s="690"/>
      <c r="C98" s="690"/>
      <c r="D98" s="690"/>
      <c r="E98" s="690"/>
      <c r="F98" s="690"/>
      <c r="G98" s="889"/>
      <c r="H98" s="690"/>
      <c r="I98" s="690"/>
      <c r="J98" s="690"/>
      <c r="K98" s="690"/>
      <c r="L98" s="690"/>
      <c r="M98" s="690"/>
      <c r="N98" s="507" t="str">
        <f t="shared" si="324"/>
        <v/>
      </c>
      <c r="O98" s="690"/>
      <c r="P98" s="507" t="str">
        <f t="shared" si="325"/>
        <v/>
      </c>
      <c r="Q98" s="690"/>
      <c r="R98" s="690"/>
      <c r="S98" s="690"/>
      <c r="T98" s="690"/>
      <c r="U98">
        <f t="shared" si="318"/>
        <v>0</v>
      </c>
      <c r="V98">
        <f t="shared" si="319"/>
        <v>0</v>
      </c>
      <c r="X98">
        <f t="shared" si="320"/>
        <v>0</v>
      </c>
      <c r="Y98">
        <f t="shared" si="321"/>
        <v>0</v>
      </c>
      <c r="Z98">
        <f t="shared" si="322"/>
        <v>0</v>
      </c>
      <c r="AA98">
        <f t="shared" si="323"/>
        <v>0</v>
      </c>
      <c r="AB98" s="25"/>
      <c r="AC98" s="25"/>
      <c r="AD98" s="25"/>
      <c r="AF98" s="48"/>
      <c r="AG98" s="689"/>
      <c r="AH98" s="689"/>
      <c r="AI98" s="689"/>
      <c r="AJ98" s="689"/>
      <c r="AK98" s="689"/>
      <c r="AM98" s="16"/>
    </row>
    <row r="99" spans="1:39" x14ac:dyDescent="0.25">
      <c r="A99" s="690"/>
      <c r="B99" s="690"/>
      <c r="C99" s="690"/>
      <c r="D99" s="690"/>
      <c r="E99" s="690"/>
      <c r="F99" s="690"/>
      <c r="G99" s="889"/>
      <c r="H99" s="690"/>
      <c r="I99" s="690"/>
      <c r="J99" s="690"/>
      <c r="K99" s="690"/>
      <c r="L99" s="690"/>
      <c r="M99" s="690"/>
      <c r="N99" s="507" t="str">
        <f t="shared" si="324"/>
        <v/>
      </c>
      <c r="O99" s="690"/>
      <c r="P99" s="507" t="str">
        <f t="shared" si="325"/>
        <v/>
      </c>
      <c r="Q99" s="690"/>
      <c r="R99" s="690"/>
      <c r="S99" s="690"/>
      <c r="T99" s="690"/>
      <c r="U99">
        <f t="shared" si="318"/>
        <v>0</v>
      </c>
      <c r="V99">
        <f t="shared" si="319"/>
        <v>0</v>
      </c>
      <c r="X99">
        <f t="shared" si="320"/>
        <v>0</v>
      </c>
      <c r="Y99">
        <f t="shared" si="321"/>
        <v>0</v>
      </c>
      <c r="Z99">
        <f t="shared" si="322"/>
        <v>0</v>
      </c>
      <c r="AA99">
        <f t="shared" si="323"/>
        <v>0</v>
      </c>
      <c r="AB99" s="25"/>
      <c r="AC99" s="25"/>
      <c r="AD99" s="25"/>
      <c r="AF99" s="48"/>
      <c r="AG99" s="689"/>
      <c r="AH99" s="689"/>
      <c r="AI99" s="689"/>
      <c r="AJ99" s="689"/>
      <c r="AK99" s="689"/>
      <c r="AM99" s="16"/>
    </row>
    <row r="100" spans="1:39" x14ac:dyDescent="0.25">
      <c r="A100" s="690"/>
      <c r="B100" s="690"/>
      <c r="C100" s="690"/>
      <c r="D100" s="690"/>
      <c r="E100" s="690"/>
      <c r="F100" s="690"/>
      <c r="G100" s="889"/>
      <c r="H100" s="690"/>
      <c r="I100" s="690"/>
      <c r="J100" s="690"/>
      <c r="K100" s="690"/>
      <c r="L100" s="690"/>
      <c r="M100" s="690"/>
      <c r="N100" s="507" t="str">
        <f t="shared" si="324"/>
        <v/>
      </c>
      <c r="O100" s="690"/>
      <c r="P100" s="507" t="str">
        <f t="shared" si="325"/>
        <v/>
      </c>
      <c r="Q100" s="690"/>
      <c r="R100" s="690"/>
      <c r="S100" s="690"/>
      <c r="T100" s="690"/>
      <c r="U100">
        <f t="shared" si="318"/>
        <v>0</v>
      </c>
      <c r="V100">
        <f t="shared" si="319"/>
        <v>0</v>
      </c>
      <c r="X100">
        <f t="shared" si="320"/>
        <v>0</v>
      </c>
      <c r="Y100">
        <f t="shared" si="321"/>
        <v>0</v>
      </c>
      <c r="Z100">
        <f t="shared" si="322"/>
        <v>0</v>
      </c>
      <c r="AA100">
        <f t="shared" si="323"/>
        <v>0</v>
      </c>
      <c r="AB100" s="25"/>
      <c r="AC100" s="25"/>
      <c r="AD100" s="25"/>
      <c r="AF100" s="48"/>
      <c r="AG100" s="689"/>
      <c r="AH100" s="689"/>
      <c r="AI100" s="689"/>
      <c r="AJ100" s="689"/>
      <c r="AK100" s="689"/>
      <c r="AM100" s="16"/>
    </row>
    <row r="101" spans="1:39" x14ac:dyDescent="0.25">
      <c r="A101" s="690"/>
      <c r="B101" s="690"/>
      <c r="C101" s="690"/>
      <c r="D101" s="690"/>
      <c r="E101" s="690"/>
      <c r="F101" s="690"/>
      <c r="G101" s="889"/>
      <c r="H101" s="690"/>
      <c r="I101" s="690"/>
      <c r="J101" s="690"/>
      <c r="K101" s="690"/>
      <c r="L101" s="690"/>
      <c r="M101" s="690"/>
      <c r="N101" s="507" t="str">
        <f t="shared" si="324"/>
        <v/>
      </c>
      <c r="O101" s="690"/>
      <c r="P101" s="507" t="str">
        <f t="shared" si="325"/>
        <v/>
      </c>
      <c r="Q101" s="690"/>
      <c r="R101" s="690"/>
      <c r="S101" s="690"/>
      <c r="T101" s="690"/>
      <c r="U101">
        <f t="shared" si="318"/>
        <v>0</v>
      </c>
      <c r="V101">
        <f t="shared" si="319"/>
        <v>0</v>
      </c>
      <c r="X101">
        <f t="shared" si="320"/>
        <v>0</v>
      </c>
      <c r="Y101">
        <f t="shared" si="321"/>
        <v>0</v>
      </c>
      <c r="Z101">
        <f t="shared" si="322"/>
        <v>0</v>
      </c>
      <c r="AA101">
        <f t="shared" si="323"/>
        <v>0</v>
      </c>
      <c r="AB101" s="25"/>
      <c r="AC101" s="25"/>
      <c r="AD101" s="25"/>
      <c r="AF101" s="48"/>
      <c r="AG101" s="689"/>
      <c r="AH101" s="689"/>
      <c r="AI101" s="689"/>
      <c r="AJ101" s="689"/>
      <c r="AK101" s="689"/>
      <c r="AM101" s="16"/>
    </row>
    <row r="102" spans="1:39" x14ac:dyDescent="0.25">
      <c r="A102" s="690"/>
      <c r="B102" s="690"/>
      <c r="C102" s="690"/>
      <c r="D102" s="690"/>
      <c r="E102" s="690"/>
      <c r="F102" s="690"/>
      <c r="G102" s="889"/>
      <c r="H102" s="690"/>
      <c r="I102" s="690"/>
      <c r="J102" s="690"/>
      <c r="K102" s="690"/>
      <c r="L102" s="690"/>
      <c r="M102" s="690"/>
      <c r="N102" s="507" t="str">
        <f t="shared" si="324"/>
        <v/>
      </c>
      <c r="O102" s="690"/>
      <c r="P102" s="507" t="str">
        <f t="shared" si="325"/>
        <v/>
      </c>
      <c r="Q102" s="690"/>
      <c r="R102" s="690"/>
      <c r="S102" s="690"/>
      <c r="T102" s="690"/>
      <c r="U102">
        <f t="shared" si="318"/>
        <v>0</v>
      </c>
      <c r="V102">
        <f t="shared" si="319"/>
        <v>0</v>
      </c>
      <c r="X102">
        <f t="shared" si="320"/>
        <v>0</v>
      </c>
      <c r="Y102">
        <f t="shared" si="321"/>
        <v>0</v>
      </c>
      <c r="Z102">
        <f t="shared" si="322"/>
        <v>0</v>
      </c>
      <c r="AA102">
        <f t="shared" si="323"/>
        <v>0</v>
      </c>
      <c r="AB102" s="25"/>
      <c r="AC102" s="25"/>
      <c r="AD102" s="25"/>
      <c r="AF102" s="48"/>
      <c r="AG102" s="689"/>
      <c r="AH102" s="689"/>
      <c r="AI102" s="689"/>
      <c r="AJ102" s="689"/>
      <c r="AK102" s="689"/>
      <c r="AM102" s="16"/>
    </row>
    <row r="103" spans="1:39" x14ac:dyDescent="0.25">
      <c r="A103" s="690"/>
      <c r="B103" s="690"/>
      <c r="C103" s="690"/>
      <c r="D103" s="690"/>
      <c r="E103" s="690"/>
      <c r="F103" s="690"/>
      <c r="G103" s="889"/>
      <c r="H103" s="690"/>
      <c r="I103" s="690"/>
      <c r="J103" s="690"/>
      <c r="K103" s="690"/>
      <c r="L103" s="690"/>
      <c r="M103" s="690"/>
      <c r="N103" s="507" t="str">
        <f t="shared" si="324"/>
        <v/>
      </c>
      <c r="O103" s="690"/>
      <c r="P103" s="507" t="str">
        <f t="shared" si="325"/>
        <v/>
      </c>
      <c r="Q103" s="690"/>
      <c r="R103" s="690"/>
      <c r="S103" s="690"/>
      <c r="T103" s="690"/>
      <c r="U103">
        <f t="shared" si="318"/>
        <v>0</v>
      </c>
      <c r="V103">
        <f t="shared" si="319"/>
        <v>0</v>
      </c>
      <c r="X103">
        <f t="shared" si="320"/>
        <v>0</v>
      </c>
      <c r="Y103">
        <f t="shared" si="321"/>
        <v>0</v>
      </c>
      <c r="Z103">
        <f t="shared" si="322"/>
        <v>0</v>
      </c>
      <c r="AA103">
        <f t="shared" si="323"/>
        <v>0</v>
      </c>
      <c r="AB103" s="25"/>
      <c r="AC103" s="25"/>
      <c r="AD103" s="25"/>
      <c r="AF103" s="48"/>
      <c r="AG103" s="689"/>
      <c r="AH103" s="689"/>
      <c r="AI103" s="689"/>
      <c r="AJ103" s="689"/>
      <c r="AK103" s="689"/>
      <c r="AM103" s="16"/>
    </row>
    <row r="104" spans="1:39" x14ac:dyDescent="0.25">
      <c r="A104" s="690"/>
      <c r="B104" s="690"/>
      <c r="C104" s="690"/>
      <c r="D104" s="690"/>
      <c r="E104" s="690"/>
      <c r="F104" s="690"/>
      <c r="G104" s="889"/>
      <c r="H104" s="690"/>
      <c r="I104" s="690"/>
      <c r="J104" s="690"/>
      <c r="K104" s="690"/>
      <c r="L104" s="690"/>
      <c r="M104" s="690"/>
      <c r="N104" s="507" t="str">
        <f t="shared" si="324"/>
        <v/>
      </c>
      <c r="O104" s="690"/>
      <c r="P104" s="507" t="str">
        <f t="shared" si="325"/>
        <v/>
      </c>
      <c r="Q104" s="690"/>
      <c r="R104" s="690"/>
      <c r="S104" s="690"/>
      <c r="T104" s="690"/>
      <c r="U104">
        <f t="shared" si="318"/>
        <v>0</v>
      </c>
      <c r="V104">
        <f t="shared" si="319"/>
        <v>0</v>
      </c>
      <c r="X104">
        <f t="shared" si="320"/>
        <v>0</v>
      </c>
      <c r="Y104">
        <f t="shared" si="321"/>
        <v>0</v>
      </c>
      <c r="Z104">
        <f t="shared" si="322"/>
        <v>0</v>
      </c>
      <c r="AA104">
        <f t="shared" si="323"/>
        <v>0</v>
      </c>
      <c r="AB104" s="25"/>
      <c r="AC104" s="25"/>
      <c r="AD104" s="25"/>
      <c r="AF104" s="48"/>
      <c r="AG104" s="689"/>
      <c r="AH104" s="689"/>
      <c r="AI104" s="689"/>
      <c r="AJ104" s="689"/>
      <c r="AK104" s="689"/>
      <c r="AM104" s="16"/>
    </row>
    <row r="105" spans="1:39" x14ac:dyDescent="0.25">
      <c r="A105" s="690"/>
      <c r="B105" s="690"/>
      <c r="C105" s="690"/>
      <c r="D105" s="690"/>
      <c r="E105" s="690"/>
      <c r="F105" s="690"/>
      <c r="G105" s="889"/>
      <c r="H105" s="690"/>
      <c r="I105" s="690"/>
      <c r="J105" s="690"/>
      <c r="K105" s="690"/>
      <c r="L105" s="690"/>
      <c r="M105" s="690"/>
      <c r="N105" s="507" t="str">
        <f t="shared" si="324"/>
        <v/>
      </c>
      <c r="O105" s="690"/>
      <c r="P105" s="507" t="str">
        <f t="shared" si="325"/>
        <v/>
      </c>
      <c r="Q105" s="690"/>
      <c r="R105" s="690"/>
      <c r="S105" s="690"/>
      <c r="T105" s="690"/>
      <c r="U105">
        <f t="shared" si="318"/>
        <v>0</v>
      </c>
      <c r="V105">
        <f t="shared" si="319"/>
        <v>0</v>
      </c>
      <c r="X105">
        <f t="shared" si="320"/>
        <v>0</v>
      </c>
      <c r="Y105">
        <f t="shared" si="321"/>
        <v>0</v>
      </c>
      <c r="Z105">
        <f t="shared" si="322"/>
        <v>0</v>
      </c>
      <c r="AA105">
        <f t="shared" si="323"/>
        <v>0</v>
      </c>
      <c r="AB105" s="25"/>
      <c r="AC105" s="25"/>
      <c r="AD105" s="25"/>
      <c r="AF105" s="48"/>
      <c r="AG105" s="689"/>
      <c r="AH105" s="689"/>
      <c r="AI105" s="689"/>
      <c r="AJ105" s="689"/>
      <c r="AK105" s="689"/>
      <c r="AM105" s="16"/>
    </row>
    <row r="106" spans="1:39" x14ac:dyDescent="0.25">
      <c r="A106" s="690"/>
      <c r="B106" s="690"/>
      <c r="C106" s="690"/>
      <c r="D106" s="690"/>
      <c r="E106" s="690"/>
      <c r="F106" s="690"/>
      <c r="G106" s="889"/>
      <c r="H106" s="690"/>
      <c r="I106" s="690"/>
      <c r="J106" s="690"/>
      <c r="K106" s="690"/>
      <c r="L106" s="690"/>
      <c r="M106" s="690"/>
      <c r="N106" s="507" t="str">
        <f t="shared" si="324"/>
        <v/>
      </c>
      <c r="O106" s="690"/>
      <c r="P106" s="507" t="str">
        <f t="shared" si="325"/>
        <v/>
      </c>
      <c r="Q106" s="690"/>
      <c r="R106" s="690"/>
      <c r="S106" s="690"/>
      <c r="T106" s="690"/>
      <c r="U106">
        <f t="shared" si="318"/>
        <v>0</v>
      </c>
      <c r="V106">
        <f t="shared" si="319"/>
        <v>0</v>
      </c>
      <c r="X106">
        <f t="shared" si="320"/>
        <v>0</v>
      </c>
      <c r="Y106">
        <f t="shared" si="321"/>
        <v>0</v>
      </c>
      <c r="Z106">
        <f t="shared" si="322"/>
        <v>0</v>
      </c>
      <c r="AA106">
        <f t="shared" si="323"/>
        <v>0</v>
      </c>
      <c r="AB106" s="25"/>
      <c r="AC106" s="25"/>
      <c r="AD106" s="25"/>
      <c r="AF106" s="48"/>
      <c r="AG106" s="689"/>
      <c r="AH106" s="689"/>
      <c r="AI106" s="689"/>
      <c r="AJ106" s="689"/>
      <c r="AK106" s="689"/>
      <c r="AM106" s="16"/>
    </row>
    <row r="107" spans="1:39" x14ac:dyDescent="0.25">
      <c r="A107" s="690"/>
      <c r="B107" s="690"/>
      <c r="C107" s="690"/>
      <c r="D107" s="690"/>
      <c r="E107" s="690"/>
      <c r="F107" s="690"/>
      <c r="G107" s="889"/>
      <c r="H107" s="690"/>
      <c r="I107" s="690"/>
      <c r="J107" s="690"/>
      <c r="K107" s="690"/>
      <c r="L107" s="690"/>
      <c r="M107" s="690"/>
      <c r="N107" s="507" t="str">
        <f t="shared" si="324"/>
        <v/>
      </c>
      <c r="O107" s="690"/>
      <c r="P107" s="507" t="str">
        <f t="shared" si="325"/>
        <v/>
      </c>
      <c r="Q107" s="690"/>
      <c r="R107" s="690"/>
      <c r="S107" s="690"/>
      <c r="T107" s="690"/>
      <c r="U107">
        <f t="shared" ref="U107:U138" si="478">IF(A107&lt;&gt;"",1,0)</f>
        <v>0</v>
      </c>
      <c r="V107">
        <f t="shared" ref="V107:V138" si="479">IF(OR(J107="Yes",K107="Yes",L107="Yes"), 1, 0)</f>
        <v>0</v>
      </c>
      <c r="X107">
        <f t="shared" ref="X107:X138" si="480">IF(R107="Yes", 1, 0)</f>
        <v>0</v>
      </c>
      <c r="Y107">
        <f t="shared" ref="Y107:Y138" si="481">IF(S107="Yes", 1, 0)</f>
        <v>0</v>
      </c>
      <c r="Z107">
        <f t="shared" ref="Z107:Z138" si="482">IF(T107="Yes", 1, 0)</f>
        <v>0</v>
      </c>
      <c r="AA107">
        <f t="shared" ref="AA107:AA138" si="483">IF(Q107="Yes", 1,0)</f>
        <v>0</v>
      </c>
      <c r="AB107" s="25"/>
      <c r="AC107" s="25"/>
      <c r="AD107" s="25"/>
      <c r="AF107" s="48"/>
      <c r="AG107" s="689"/>
      <c r="AH107" s="689"/>
      <c r="AI107" s="689"/>
      <c r="AJ107" s="689"/>
      <c r="AK107" s="689"/>
      <c r="AM107" s="16"/>
    </row>
    <row r="108" spans="1:39" x14ac:dyDescent="0.25">
      <c r="A108" s="690"/>
      <c r="B108" s="690"/>
      <c r="C108" s="690"/>
      <c r="D108" s="690"/>
      <c r="E108" s="690"/>
      <c r="F108" s="690"/>
      <c r="G108" s="889"/>
      <c r="H108" s="690"/>
      <c r="I108" s="690"/>
      <c r="J108" s="690"/>
      <c r="K108" s="690"/>
      <c r="L108" s="690"/>
      <c r="M108" s="690"/>
      <c r="N108" s="507" t="str">
        <f t="shared" si="324"/>
        <v/>
      </c>
      <c r="O108" s="690"/>
      <c r="P108" s="507" t="str">
        <f t="shared" si="325"/>
        <v/>
      </c>
      <c r="Q108" s="690"/>
      <c r="R108" s="690"/>
      <c r="S108" s="690"/>
      <c r="T108" s="690"/>
      <c r="U108">
        <f t="shared" si="478"/>
        <v>0</v>
      </c>
      <c r="V108">
        <f t="shared" si="479"/>
        <v>0</v>
      </c>
      <c r="X108">
        <f t="shared" si="480"/>
        <v>0</v>
      </c>
      <c r="Y108">
        <f t="shared" si="481"/>
        <v>0</v>
      </c>
      <c r="Z108">
        <f t="shared" si="482"/>
        <v>0</v>
      </c>
      <c r="AA108">
        <f t="shared" si="483"/>
        <v>0</v>
      </c>
      <c r="AB108" s="25"/>
      <c r="AC108" s="25"/>
      <c r="AD108" s="25"/>
      <c r="AF108" s="48"/>
      <c r="AG108" s="689"/>
      <c r="AH108" s="689"/>
      <c r="AI108" s="689"/>
      <c r="AJ108" s="689"/>
      <c r="AK108" s="689"/>
      <c r="AM108" s="16"/>
    </row>
    <row r="109" spans="1:39" x14ac:dyDescent="0.25">
      <c r="A109" s="690"/>
      <c r="B109" s="690"/>
      <c r="C109" s="690"/>
      <c r="D109" s="690"/>
      <c r="E109" s="690"/>
      <c r="F109" s="690"/>
      <c r="G109" s="889"/>
      <c r="H109" s="690"/>
      <c r="I109" s="690"/>
      <c r="J109" s="690"/>
      <c r="K109" s="690"/>
      <c r="L109" s="690"/>
      <c r="M109" s="690"/>
      <c r="N109" s="507" t="str">
        <f t="shared" si="324"/>
        <v/>
      </c>
      <c r="O109" s="690"/>
      <c r="P109" s="507" t="str">
        <f t="shared" si="325"/>
        <v/>
      </c>
      <c r="Q109" s="690"/>
      <c r="R109" s="690"/>
      <c r="S109" s="690"/>
      <c r="T109" s="690"/>
      <c r="U109">
        <f t="shared" si="478"/>
        <v>0</v>
      </c>
      <c r="V109">
        <f t="shared" si="479"/>
        <v>0</v>
      </c>
      <c r="X109">
        <f t="shared" si="480"/>
        <v>0</v>
      </c>
      <c r="Y109">
        <f t="shared" si="481"/>
        <v>0</v>
      </c>
      <c r="Z109">
        <f t="shared" si="482"/>
        <v>0</v>
      </c>
      <c r="AA109">
        <f t="shared" si="483"/>
        <v>0</v>
      </c>
      <c r="AB109" s="25"/>
      <c r="AC109" s="25"/>
      <c r="AD109" s="25"/>
      <c r="AF109" s="48"/>
      <c r="AG109" s="689"/>
      <c r="AH109" s="689"/>
      <c r="AI109" s="689"/>
      <c r="AJ109" s="689"/>
      <c r="AK109" s="689"/>
      <c r="AM109" s="16"/>
    </row>
    <row r="110" spans="1:39" x14ac:dyDescent="0.25">
      <c r="A110" s="690"/>
      <c r="B110" s="690"/>
      <c r="C110" s="690"/>
      <c r="D110" s="690"/>
      <c r="E110" s="690"/>
      <c r="F110" s="690"/>
      <c r="G110" s="889"/>
      <c r="H110" s="690"/>
      <c r="I110" s="690"/>
      <c r="J110" s="690"/>
      <c r="K110" s="690"/>
      <c r="L110" s="690"/>
      <c r="M110" s="690"/>
      <c r="N110" s="507" t="str">
        <f t="shared" si="324"/>
        <v/>
      </c>
      <c r="O110" s="690"/>
      <c r="P110" s="507" t="str">
        <f t="shared" si="325"/>
        <v/>
      </c>
      <c r="Q110" s="690"/>
      <c r="R110" s="690"/>
      <c r="S110" s="690"/>
      <c r="T110" s="690"/>
      <c r="U110">
        <f t="shared" si="478"/>
        <v>0</v>
      </c>
      <c r="V110">
        <f t="shared" si="479"/>
        <v>0</v>
      </c>
      <c r="X110">
        <f t="shared" si="480"/>
        <v>0</v>
      </c>
      <c r="Y110">
        <f t="shared" si="481"/>
        <v>0</v>
      </c>
      <c r="Z110">
        <f t="shared" si="482"/>
        <v>0</v>
      </c>
      <c r="AA110">
        <f t="shared" si="483"/>
        <v>0</v>
      </c>
      <c r="AB110" s="25"/>
      <c r="AC110" s="25"/>
      <c r="AD110" s="25"/>
      <c r="AF110" s="48"/>
      <c r="AG110" s="689"/>
      <c r="AH110" s="689"/>
      <c r="AI110" s="689"/>
      <c r="AJ110" s="689"/>
      <c r="AK110" s="689"/>
      <c r="AM110" s="16"/>
    </row>
    <row r="111" spans="1:39" x14ac:dyDescent="0.25">
      <c r="A111" s="690"/>
      <c r="B111" s="690"/>
      <c r="C111" s="690"/>
      <c r="D111" s="690"/>
      <c r="E111" s="690"/>
      <c r="F111" s="690"/>
      <c r="G111" s="889"/>
      <c r="H111" s="690"/>
      <c r="I111" s="690"/>
      <c r="J111" s="690"/>
      <c r="K111" s="690"/>
      <c r="L111" s="690"/>
      <c r="M111" s="690"/>
      <c r="N111" s="507" t="str">
        <f t="shared" si="324"/>
        <v/>
      </c>
      <c r="O111" s="690"/>
      <c r="P111" s="507" t="str">
        <f t="shared" si="325"/>
        <v/>
      </c>
      <c r="Q111" s="690"/>
      <c r="R111" s="690"/>
      <c r="S111" s="690"/>
      <c r="T111" s="690"/>
      <c r="U111">
        <f t="shared" si="478"/>
        <v>0</v>
      </c>
      <c r="V111">
        <f t="shared" si="479"/>
        <v>0</v>
      </c>
      <c r="X111">
        <f t="shared" si="480"/>
        <v>0</v>
      </c>
      <c r="Y111">
        <f t="shared" si="481"/>
        <v>0</v>
      </c>
      <c r="Z111">
        <f t="shared" si="482"/>
        <v>0</v>
      </c>
      <c r="AA111">
        <f t="shared" si="483"/>
        <v>0</v>
      </c>
      <c r="AB111" s="25"/>
      <c r="AC111" s="25"/>
      <c r="AD111" s="25"/>
      <c r="AF111" s="48"/>
      <c r="AG111" s="689"/>
      <c r="AH111" s="689"/>
      <c r="AI111" s="689"/>
      <c r="AJ111" s="689"/>
      <c r="AK111" s="689"/>
      <c r="AM111" s="16"/>
    </row>
    <row r="112" spans="1:39" x14ac:dyDescent="0.25">
      <c r="A112" s="690"/>
      <c r="B112" s="690"/>
      <c r="C112" s="690"/>
      <c r="D112" s="690"/>
      <c r="E112" s="690"/>
      <c r="F112" s="690"/>
      <c r="G112" s="889"/>
      <c r="H112" s="690"/>
      <c r="I112" s="690"/>
      <c r="J112" s="690"/>
      <c r="K112" s="690"/>
      <c r="L112" s="690"/>
      <c r="M112" s="690"/>
      <c r="N112" s="507" t="str">
        <f t="shared" si="324"/>
        <v/>
      </c>
      <c r="O112" s="690"/>
      <c r="P112" s="507" t="str">
        <f t="shared" si="325"/>
        <v/>
      </c>
      <c r="Q112" s="690"/>
      <c r="R112" s="690"/>
      <c r="S112" s="690"/>
      <c r="T112" s="690"/>
      <c r="U112">
        <f t="shared" si="478"/>
        <v>0</v>
      </c>
      <c r="V112">
        <f t="shared" si="479"/>
        <v>0</v>
      </c>
      <c r="X112">
        <f t="shared" si="480"/>
        <v>0</v>
      </c>
      <c r="Y112">
        <f t="shared" si="481"/>
        <v>0</v>
      </c>
      <c r="Z112">
        <f t="shared" si="482"/>
        <v>0</v>
      </c>
      <c r="AA112">
        <f t="shared" si="483"/>
        <v>0</v>
      </c>
      <c r="AB112" s="25"/>
      <c r="AC112" s="25"/>
      <c r="AD112" s="25"/>
      <c r="AF112" s="48"/>
      <c r="AG112" s="689"/>
      <c r="AH112" s="689"/>
      <c r="AI112" s="689"/>
      <c r="AJ112" s="689"/>
      <c r="AK112" s="689"/>
      <c r="AM112" s="16"/>
    </row>
    <row r="113" spans="1:39" x14ac:dyDescent="0.25">
      <c r="A113" s="690"/>
      <c r="B113" s="690"/>
      <c r="C113" s="690"/>
      <c r="D113" s="690"/>
      <c r="E113" s="690"/>
      <c r="F113" s="690"/>
      <c r="G113" s="889"/>
      <c r="H113" s="690"/>
      <c r="I113" s="690"/>
      <c r="J113" s="690"/>
      <c r="K113" s="690"/>
      <c r="L113" s="690"/>
      <c r="M113" s="690"/>
      <c r="N113" s="507" t="str">
        <f t="shared" si="324"/>
        <v/>
      </c>
      <c r="O113" s="690"/>
      <c r="P113" s="507" t="str">
        <f t="shared" si="325"/>
        <v/>
      </c>
      <c r="Q113" s="690"/>
      <c r="R113" s="690"/>
      <c r="S113" s="690"/>
      <c r="T113" s="690"/>
      <c r="U113">
        <f t="shared" si="478"/>
        <v>0</v>
      </c>
      <c r="V113">
        <f t="shared" si="479"/>
        <v>0</v>
      </c>
      <c r="X113">
        <f t="shared" si="480"/>
        <v>0</v>
      </c>
      <c r="Y113">
        <f t="shared" si="481"/>
        <v>0</v>
      </c>
      <c r="Z113">
        <f t="shared" si="482"/>
        <v>0</v>
      </c>
      <c r="AA113">
        <f t="shared" si="483"/>
        <v>0</v>
      </c>
      <c r="AB113" s="25"/>
      <c r="AC113" s="25"/>
      <c r="AD113" s="25"/>
      <c r="AF113" s="48"/>
      <c r="AG113" s="689"/>
      <c r="AH113" s="689"/>
      <c r="AI113" s="689"/>
      <c r="AJ113" s="689"/>
      <c r="AK113" s="689"/>
      <c r="AM113" s="16"/>
    </row>
    <row r="114" spans="1:39" x14ac:dyDescent="0.25">
      <c r="A114" s="690"/>
      <c r="B114" s="690"/>
      <c r="C114" s="690"/>
      <c r="D114" s="690"/>
      <c r="E114" s="690"/>
      <c r="F114" s="690"/>
      <c r="G114" s="889"/>
      <c r="H114" s="690"/>
      <c r="I114" s="690"/>
      <c r="J114" s="690"/>
      <c r="K114" s="690"/>
      <c r="L114" s="690"/>
      <c r="M114" s="690"/>
      <c r="N114" s="507" t="str">
        <f t="shared" si="324"/>
        <v/>
      </c>
      <c r="O114" s="690"/>
      <c r="P114" s="507" t="str">
        <f t="shared" si="325"/>
        <v/>
      </c>
      <c r="Q114" s="690"/>
      <c r="R114" s="690"/>
      <c r="S114" s="690"/>
      <c r="T114" s="690"/>
      <c r="U114">
        <f t="shared" si="478"/>
        <v>0</v>
      </c>
      <c r="V114">
        <f t="shared" si="479"/>
        <v>0</v>
      </c>
      <c r="X114">
        <f t="shared" si="480"/>
        <v>0</v>
      </c>
      <c r="Y114">
        <f t="shared" si="481"/>
        <v>0</v>
      </c>
      <c r="Z114">
        <f t="shared" si="482"/>
        <v>0</v>
      </c>
      <c r="AA114">
        <f t="shared" si="483"/>
        <v>0</v>
      </c>
      <c r="AB114" s="25"/>
      <c r="AC114" s="25"/>
      <c r="AD114" s="25"/>
      <c r="AF114" s="48"/>
      <c r="AG114" s="689"/>
      <c r="AH114" s="689"/>
      <c r="AI114" s="689"/>
      <c r="AJ114" s="689"/>
      <c r="AK114" s="689"/>
      <c r="AM114" s="16"/>
    </row>
    <row r="115" spans="1:39" x14ac:dyDescent="0.25">
      <c r="A115" s="690"/>
      <c r="B115" s="690"/>
      <c r="C115" s="690"/>
      <c r="D115" s="690"/>
      <c r="E115" s="690"/>
      <c r="F115" s="690"/>
      <c r="G115" s="889"/>
      <c r="H115" s="690"/>
      <c r="I115" s="690"/>
      <c r="J115" s="690"/>
      <c r="K115" s="690"/>
      <c r="L115" s="690"/>
      <c r="M115" s="690"/>
      <c r="N115" s="507" t="str">
        <f t="shared" si="324"/>
        <v/>
      </c>
      <c r="O115" s="690"/>
      <c r="P115" s="507" t="str">
        <f t="shared" si="325"/>
        <v/>
      </c>
      <c r="Q115" s="690"/>
      <c r="R115" s="690"/>
      <c r="S115" s="690"/>
      <c r="T115" s="690"/>
      <c r="U115">
        <f t="shared" si="478"/>
        <v>0</v>
      </c>
      <c r="V115">
        <f t="shared" si="479"/>
        <v>0</v>
      </c>
      <c r="X115">
        <f t="shared" si="480"/>
        <v>0</v>
      </c>
      <c r="Y115">
        <f t="shared" si="481"/>
        <v>0</v>
      </c>
      <c r="Z115">
        <f t="shared" si="482"/>
        <v>0</v>
      </c>
      <c r="AA115">
        <f t="shared" si="483"/>
        <v>0</v>
      </c>
      <c r="AB115" s="25"/>
      <c r="AC115" s="25"/>
      <c r="AD115" s="25"/>
      <c r="AF115" s="48"/>
      <c r="AG115" s="689"/>
      <c r="AH115" s="689"/>
      <c r="AI115" s="689"/>
      <c r="AJ115" s="689"/>
      <c r="AK115" s="689"/>
      <c r="AM115" s="16"/>
    </row>
    <row r="116" spans="1:39" x14ac:dyDescent="0.25">
      <c r="A116" s="690"/>
      <c r="B116" s="690"/>
      <c r="C116" s="690"/>
      <c r="D116" s="690"/>
      <c r="E116" s="690"/>
      <c r="F116" s="690"/>
      <c r="G116" s="889"/>
      <c r="H116" s="690"/>
      <c r="I116" s="690"/>
      <c r="J116" s="690"/>
      <c r="K116" s="690"/>
      <c r="L116" s="690"/>
      <c r="M116" s="690"/>
      <c r="N116" s="507" t="str">
        <f t="shared" si="324"/>
        <v/>
      </c>
      <c r="O116" s="690"/>
      <c r="P116" s="507" t="str">
        <f t="shared" si="325"/>
        <v/>
      </c>
      <c r="Q116" s="690"/>
      <c r="R116" s="690"/>
      <c r="S116" s="690"/>
      <c r="T116" s="690"/>
      <c r="U116">
        <f t="shared" si="478"/>
        <v>0</v>
      </c>
      <c r="V116">
        <f t="shared" si="479"/>
        <v>0</v>
      </c>
      <c r="X116">
        <f t="shared" si="480"/>
        <v>0</v>
      </c>
      <c r="Y116">
        <f t="shared" si="481"/>
        <v>0</v>
      </c>
      <c r="Z116">
        <f t="shared" si="482"/>
        <v>0</v>
      </c>
      <c r="AA116">
        <f t="shared" si="483"/>
        <v>0</v>
      </c>
      <c r="AB116" s="25"/>
      <c r="AC116" s="25"/>
      <c r="AD116" s="25"/>
      <c r="AF116" s="48"/>
      <c r="AG116" s="689"/>
      <c r="AH116" s="689"/>
      <c r="AI116" s="689"/>
      <c r="AJ116" s="689"/>
      <c r="AK116" s="689"/>
      <c r="AM116" s="16"/>
    </row>
    <row r="117" spans="1:39" x14ac:dyDescent="0.25">
      <c r="A117" s="690"/>
      <c r="B117" s="690"/>
      <c r="C117" s="690"/>
      <c r="D117" s="690"/>
      <c r="E117" s="690"/>
      <c r="F117" s="690"/>
      <c r="G117" s="889"/>
      <c r="H117" s="690"/>
      <c r="I117" s="690"/>
      <c r="J117" s="690"/>
      <c r="K117" s="690"/>
      <c r="L117" s="690"/>
      <c r="M117" s="690"/>
      <c r="N117" s="507" t="str">
        <f t="shared" si="324"/>
        <v/>
      </c>
      <c r="O117" s="690"/>
      <c r="P117" s="507" t="str">
        <f t="shared" si="325"/>
        <v/>
      </c>
      <c r="Q117" s="690"/>
      <c r="R117" s="690"/>
      <c r="S117" s="690"/>
      <c r="T117" s="690"/>
      <c r="U117">
        <f t="shared" si="478"/>
        <v>0</v>
      </c>
      <c r="V117">
        <f t="shared" si="479"/>
        <v>0</v>
      </c>
      <c r="X117">
        <f t="shared" si="480"/>
        <v>0</v>
      </c>
      <c r="Y117">
        <f t="shared" si="481"/>
        <v>0</v>
      </c>
      <c r="Z117">
        <f t="shared" si="482"/>
        <v>0</v>
      </c>
      <c r="AA117">
        <f t="shared" si="483"/>
        <v>0</v>
      </c>
      <c r="AB117" s="25"/>
      <c r="AC117" s="25"/>
      <c r="AD117" s="25"/>
      <c r="AF117" s="48"/>
      <c r="AG117" s="689"/>
      <c r="AH117" s="689"/>
      <c r="AI117" s="689"/>
      <c r="AJ117" s="689"/>
      <c r="AK117" s="689"/>
      <c r="AM117" s="16"/>
    </row>
    <row r="118" spans="1:39" x14ac:dyDescent="0.25">
      <c r="A118" s="690"/>
      <c r="B118" s="690"/>
      <c r="C118" s="690"/>
      <c r="D118" s="690"/>
      <c r="E118" s="690"/>
      <c r="F118" s="690"/>
      <c r="G118" s="889"/>
      <c r="H118" s="690"/>
      <c r="I118" s="690"/>
      <c r="J118" s="690"/>
      <c r="K118" s="690"/>
      <c r="L118" s="690"/>
      <c r="M118" s="690"/>
      <c r="N118" s="507" t="str">
        <f t="shared" si="324"/>
        <v/>
      </c>
      <c r="O118" s="690"/>
      <c r="P118" s="507" t="str">
        <f t="shared" si="325"/>
        <v/>
      </c>
      <c r="Q118" s="690"/>
      <c r="R118" s="690"/>
      <c r="S118" s="690"/>
      <c r="T118" s="690"/>
      <c r="U118">
        <f t="shared" si="478"/>
        <v>0</v>
      </c>
      <c r="V118">
        <f t="shared" si="479"/>
        <v>0</v>
      </c>
      <c r="X118">
        <f t="shared" si="480"/>
        <v>0</v>
      </c>
      <c r="Y118">
        <f t="shared" si="481"/>
        <v>0</v>
      </c>
      <c r="Z118">
        <f t="shared" si="482"/>
        <v>0</v>
      </c>
      <c r="AA118">
        <f t="shared" si="483"/>
        <v>0</v>
      </c>
      <c r="AB118" s="25"/>
      <c r="AC118" s="25"/>
      <c r="AD118" s="25"/>
      <c r="AF118" s="48"/>
      <c r="AG118" s="689"/>
      <c r="AH118" s="689"/>
      <c r="AI118" s="689"/>
      <c r="AJ118" s="689"/>
      <c r="AK118" s="689"/>
      <c r="AM118" s="16"/>
    </row>
    <row r="119" spans="1:39" x14ac:dyDescent="0.25">
      <c r="A119" s="690"/>
      <c r="B119" s="690"/>
      <c r="C119" s="690"/>
      <c r="D119" s="690"/>
      <c r="E119" s="690"/>
      <c r="F119" s="690"/>
      <c r="G119" s="889"/>
      <c r="H119" s="690"/>
      <c r="I119" s="690"/>
      <c r="J119" s="690"/>
      <c r="K119" s="690"/>
      <c r="L119" s="690"/>
      <c r="M119" s="690"/>
      <c r="N119" s="507" t="str">
        <f t="shared" si="324"/>
        <v/>
      </c>
      <c r="O119" s="690"/>
      <c r="P119" s="507" t="str">
        <f t="shared" si="325"/>
        <v/>
      </c>
      <c r="Q119" s="690"/>
      <c r="R119" s="690"/>
      <c r="S119" s="690"/>
      <c r="T119" s="690"/>
      <c r="U119">
        <f t="shared" si="478"/>
        <v>0</v>
      </c>
      <c r="V119">
        <f t="shared" si="479"/>
        <v>0</v>
      </c>
      <c r="X119">
        <f t="shared" si="480"/>
        <v>0</v>
      </c>
      <c r="Y119">
        <f t="shared" si="481"/>
        <v>0</v>
      </c>
      <c r="Z119">
        <f t="shared" si="482"/>
        <v>0</v>
      </c>
      <c r="AA119">
        <f t="shared" si="483"/>
        <v>0</v>
      </c>
      <c r="AB119" s="25"/>
      <c r="AC119" s="25"/>
      <c r="AD119" s="25"/>
      <c r="AF119" s="48"/>
      <c r="AG119" s="689"/>
      <c r="AH119" s="689"/>
      <c r="AI119" s="689"/>
      <c r="AJ119" s="689"/>
      <c r="AK119" s="689"/>
      <c r="AM119" s="16"/>
    </row>
    <row r="120" spans="1:39" x14ac:dyDescent="0.25">
      <c r="A120" s="690"/>
      <c r="B120" s="690"/>
      <c r="C120" s="690"/>
      <c r="D120" s="690"/>
      <c r="E120" s="690"/>
      <c r="F120" s="690"/>
      <c r="G120" s="889"/>
      <c r="H120" s="690"/>
      <c r="I120" s="690"/>
      <c r="J120" s="690"/>
      <c r="K120" s="690"/>
      <c r="L120" s="690"/>
      <c r="M120" s="690"/>
      <c r="N120" s="507" t="str">
        <f t="shared" si="324"/>
        <v/>
      </c>
      <c r="O120" s="690"/>
      <c r="P120" s="507" t="str">
        <f t="shared" si="325"/>
        <v/>
      </c>
      <c r="Q120" s="690"/>
      <c r="R120" s="690"/>
      <c r="S120" s="690"/>
      <c r="T120" s="690"/>
      <c r="U120">
        <f t="shared" si="478"/>
        <v>0</v>
      </c>
      <c r="V120">
        <f t="shared" si="479"/>
        <v>0</v>
      </c>
      <c r="X120">
        <f t="shared" si="480"/>
        <v>0</v>
      </c>
      <c r="Y120">
        <f t="shared" si="481"/>
        <v>0</v>
      </c>
      <c r="Z120">
        <f t="shared" si="482"/>
        <v>0</v>
      </c>
      <c r="AA120">
        <f t="shared" si="483"/>
        <v>0</v>
      </c>
      <c r="AB120" s="25"/>
      <c r="AC120" s="25"/>
      <c r="AD120" s="25"/>
      <c r="AF120" s="48"/>
      <c r="AG120" s="689"/>
      <c r="AH120" s="689"/>
      <c r="AI120" s="689"/>
      <c r="AJ120" s="689"/>
      <c r="AK120" s="689"/>
      <c r="AM120" s="16"/>
    </row>
    <row r="121" spans="1:39" x14ac:dyDescent="0.25">
      <c r="A121" s="690"/>
      <c r="B121" s="690"/>
      <c r="C121" s="690"/>
      <c r="D121" s="690"/>
      <c r="E121" s="690"/>
      <c r="F121" s="690"/>
      <c r="G121" s="889"/>
      <c r="H121" s="690"/>
      <c r="I121" s="690"/>
      <c r="J121" s="690"/>
      <c r="K121" s="690"/>
      <c r="L121" s="690"/>
      <c r="M121" s="690"/>
      <c r="N121" s="507" t="str">
        <f t="shared" si="324"/>
        <v/>
      </c>
      <c r="O121" s="690"/>
      <c r="P121" s="507" t="str">
        <f t="shared" si="325"/>
        <v/>
      </c>
      <c r="Q121" s="690"/>
      <c r="R121" s="690"/>
      <c r="S121" s="690"/>
      <c r="T121" s="690"/>
      <c r="U121">
        <f t="shared" si="478"/>
        <v>0</v>
      </c>
      <c r="V121">
        <f t="shared" si="479"/>
        <v>0</v>
      </c>
      <c r="X121">
        <f t="shared" si="480"/>
        <v>0</v>
      </c>
      <c r="Y121">
        <f t="shared" si="481"/>
        <v>0</v>
      </c>
      <c r="Z121">
        <f t="shared" si="482"/>
        <v>0</v>
      </c>
      <c r="AA121">
        <f t="shared" si="483"/>
        <v>0</v>
      </c>
      <c r="AB121" s="25"/>
      <c r="AC121" s="25"/>
      <c r="AD121" s="25"/>
      <c r="AF121" s="48"/>
      <c r="AG121" s="689"/>
      <c r="AH121" s="689"/>
      <c r="AI121" s="689"/>
      <c r="AJ121" s="689"/>
      <c r="AK121" s="689"/>
      <c r="AM121" s="16"/>
    </row>
    <row r="122" spans="1:39" x14ac:dyDescent="0.25">
      <c r="A122" s="690"/>
      <c r="B122" s="690"/>
      <c r="C122" s="690"/>
      <c r="D122" s="690"/>
      <c r="E122" s="690"/>
      <c r="F122" s="690"/>
      <c r="G122" s="889"/>
      <c r="H122" s="690"/>
      <c r="I122" s="690"/>
      <c r="J122" s="690"/>
      <c r="K122" s="690"/>
      <c r="L122" s="690"/>
      <c r="M122" s="690"/>
      <c r="N122" s="507" t="str">
        <f t="shared" si="324"/>
        <v/>
      </c>
      <c r="O122" s="690"/>
      <c r="P122" s="507" t="str">
        <f t="shared" si="325"/>
        <v/>
      </c>
      <c r="Q122" s="690"/>
      <c r="R122" s="690"/>
      <c r="S122" s="690"/>
      <c r="T122" s="690"/>
      <c r="U122">
        <f t="shared" si="478"/>
        <v>0</v>
      </c>
      <c r="V122">
        <f t="shared" si="479"/>
        <v>0</v>
      </c>
      <c r="X122">
        <f t="shared" si="480"/>
        <v>0</v>
      </c>
      <c r="Y122">
        <f t="shared" si="481"/>
        <v>0</v>
      </c>
      <c r="Z122">
        <f t="shared" si="482"/>
        <v>0</v>
      </c>
      <c r="AA122">
        <f t="shared" si="483"/>
        <v>0</v>
      </c>
      <c r="AB122" s="25"/>
      <c r="AC122" s="25"/>
      <c r="AD122" s="25"/>
      <c r="AF122" s="48"/>
      <c r="AG122" s="689"/>
      <c r="AH122" s="689"/>
      <c r="AI122" s="689"/>
      <c r="AJ122" s="689"/>
      <c r="AK122" s="689"/>
      <c r="AM122" s="16"/>
    </row>
    <row r="123" spans="1:39" x14ac:dyDescent="0.25">
      <c r="A123" s="690"/>
      <c r="B123" s="690"/>
      <c r="C123" s="690"/>
      <c r="D123" s="690"/>
      <c r="E123" s="690"/>
      <c r="F123" s="690"/>
      <c r="G123" s="889"/>
      <c r="H123" s="690"/>
      <c r="I123" s="690"/>
      <c r="J123" s="690"/>
      <c r="K123" s="690"/>
      <c r="L123" s="690"/>
      <c r="M123" s="690"/>
      <c r="N123" s="507" t="str">
        <f t="shared" si="324"/>
        <v/>
      </c>
      <c r="O123" s="690"/>
      <c r="P123" s="507" t="str">
        <f t="shared" si="325"/>
        <v/>
      </c>
      <c r="Q123" s="690"/>
      <c r="R123" s="690"/>
      <c r="S123" s="690"/>
      <c r="T123" s="690"/>
      <c r="U123">
        <f t="shared" si="478"/>
        <v>0</v>
      </c>
      <c r="V123">
        <f t="shared" si="479"/>
        <v>0</v>
      </c>
      <c r="X123">
        <f t="shared" si="480"/>
        <v>0</v>
      </c>
      <c r="Y123">
        <f t="shared" si="481"/>
        <v>0</v>
      </c>
      <c r="Z123">
        <f t="shared" si="482"/>
        <v>0</v>
      </c>
      <c r="AA123">
        <f t="shared" si="483"/>
        <v>0</v>
      </c>
      <c r="AB123" s="25"/>
      <c r="AC123" s="25"/>
      <c r="AD123" s="25"/>
      <c r="AF123" s="48"/>
      <c r="AG123" s="689"/>
      <c r="AH123" s="689"/>
      <c r="AI123" s="689"/>
      <c r="AJ123" s="689"/>
      <c r="AK123" s="689"/>
      <c r="AM123" s="16"/>
    </row>
    <row r="124" spans="1:39" x14ac:dyDescent="0.25">
      <c r="A124" s="690"/>
      <c r="B124" s="690"/>
      <c r="C124" s="690"/>
      <c r="D124" s="690"/>
      <c r="E124" s="690"/>
      <c r="F124" s="690"/>
      <c r="G124" s="889"/>
      <c r="H124" s="690"/>
      <c r="I124" s="690"/>
      <c r="J124" s="690"/>
      <c r="K124" s="690"/>
      <c r="L124" s="690"/>
      <c r="M124" s="690"/>
      <c r="N124" s="507" t="str">
        <f t="shared" si="324"/>
        <v/>
      </c>
      <c r="O124" s="690"/>
      <c r="P124" s="507" t="str">
        <f t="shared" si="325"/>
        <v/>
      </c>
      <c r="Q124" s="690"/>
      <c r="R124" s="690"/>
      <c r="S124" s="690"/>
      <c r="T124" s="690"/>
      <c r="U124">
        <f t="shared" si="478"/>
        <v>0</v>
      </c>
      <c r="V124">
        <f t="shared" si="479"/>
        <v>0</v>
      </c>
      <c r="X124">
        <f t="shared" si="480"/>
        <v>0</v>
      </c>
      <c r="Y124">
        <f t="shared" si="481"/>
        <v>0</v>
      </c>
      <c r="Z124">
        <f t="shared" si="482"/>
        <v>0</v>
      </c>
      <c r="AA124">
        <f t="shared" si="483"/>
        <v>0</v>
      </c>
      <c r="AB124" s="25"/>
      <c r="AC124" s="25"/>
      <c r="AD124" s="25"/>
      <c r="AF124" s="48"/>
      <c r="AG124" s="689"/>
      <c r="AH124" s="689"/>
      <c r="AI124" s="689"/>
      <c r="AJ124" s="689"/>
      <c r="AK124" s="689"/>
      <c r="AM124" s="16"/>
    </row>
    <row r="125" spans="1:39" x14ac:dyDescent="0.25">
      <c r="A125" s="690"/>
      <c r="B125" s="690"/>
      <c r="C125" s="690"/>
      <c r="D125" s="690"/>
      <c r="E125" s="690"/>
      <c r="F125" s="690"/>
      <c r="G125" s="889"/>
      <c r="H125" s="690"/>
      <c r="I125" s="690"/>
      <c r="J125" s="690"/>
      <c r="K125" s="690"/>
      <c r="L125" s="690"/>
      <c r="M125" s="690"/>
      <c r="N125" s="507" t="str">
        <f t="shared" si="324"/>
        <v/>
      </c>
      <c r="O125" s="690"/>
      <c r="P125" s="507" t="str">
        <f t="shared" si="325"/>
        <v/>
      </c>
      <c r="Q125" s="690"/>
      <c r="R125" s="690"/>
      <c r="S125" s="690"/>
      <c r="T125" s="690"/>
      <c r="U125">
        <f t="shared" si="478"/>
        <v>0</v>
      </c>
      <c r="V125">
        <f t="shared" si="479"/>
        <v>0</v>
      </c>
      <c r="X125">
        <f t="shared" si="480"/>
        <v>0</v>
      </c>
      <c r="Y125">
        <f t="shared" si="481"/>
        <v>0</v>
      </c>
      <c r="Z125">
        <f t="shared" si="482"/>
        <v>0</v>
      </c>
      <c r="AA125">
        <f t="shared" si="483"/>
        <v>0</v>
      </c>
      <c r="AB125" s="25"/>
      <c r="AC125" s="25"/>
      <c r="AD125" s="25"/>
      <c r="AF125" s="48"/>
      <c r="AG125" s="689"/>
      <c r="AH125" s="689"/>
      <c r="AI125" s="689"/>
      <c r="AJ125" s="689"/>
      <c r="AK125" s="689"/>
      <c r="AM125" s="16"/>
    </row>
    <row r="126" spans="1:39" x14ac:dyDescent="0.25">
      <c r="A126" s="690"/>
      <c r="B126" s="690"/>
      <c r="C126" s="690"/>
      <c r="D126" s="690"/>
      <c r="E126" s="690"/>
      <c r="F126" s="690"/>
      <c r="G126" s="889"/>
      <c r="H126" s="690"/>
      <c r="I126" s="690"/>
      <c r="J126" s="690"/>
      <c r="K126" s="690"/>
      <c r="L126" s="690"/>
      <c r="M126" s="690"/>
      <c r="N126" s="507" t="str">
        <f t="shared" si="324"/>
        <v/>
      </c>
      <c r="O126" s="690"/>
      <c r="P126" s="507" t="str">
        <f t="shared" si="325"/>
        <v/>
      </c>
      <c r="Q126" s="690"/>
      <c r="R126" s="690"/>
      <c r="S126" s="690"/>
      <c r="T126" s="690"/>
      <c r="U126">
        <f t="shared" si="478"/>
        <v>0</v>
      </c>
      <c r="V126">
        <f t="shared" si="479"/>
        <v>0</v>
      </c>
      <c r="X126">
        <f t="shared" si="480"/>
        <v>0</v>
      </c>
      <c r="Y126">
        <f t="shared" si="481"/>
        <v>0</v>
      </c>
      <c r="Z126">
        <f t="shared" si="482"/>
        <v>0</v>
      </c>
      <c r="AA126">
        <f t="shared" si="483"/>
        <v>0</v>
      </c>
      <c r="AB126" s="25"/>
      <c r="AC126" s="25"/>
      <c r="AD126" s="25"/>
      <c r="AF126" s="48"/>
      <c r="AG126" s="689"/>
      <c r="AH126" s="689"/>
      <c r="AI126" s="689"/>
      <c r="AJ126" s="689"/>
      <c r="AK126" s="689"/>
      <c r="AM126" s="16"/>
    </row>
    <row r="127" spans="1:39" x14ac:dyDescent="0.25">
      <c r="A127" s="690"/>
      <c r="B127" s="690"/>
      <c r="C127" s="690"/>
      <c r="D127" s="690"/>
      <c r="E127" s="690"/>
      <c r="F127" s="690"/>
      <c r="G127" s="889"/>
      <c r="H127" s="690"/>
      <c r="I127" s="690"/>
      <c r="J127" s="690"/>
      <c r="K127" s="690"/>
      <c r="L127" s="690"/>
      <c r="M127" s="690"/>
      <c r="N127" s="507" t="str">
        <f t="shared" si="324"/>
        <v/>
      </c>
      <c r="O127" s="690"/>
      <c r="P127" s="507" t="str">
        <f t="shared" si="325"/>
        <v/>
      </c>
      <c r="Q127" s="690"/>
      <c r="R127" s="690"/>
      <c r="S127" s="690"/>
      <c r="T127" s="690"/>
      <c r="U127">
        <f t="shared" si="478"/>
        <v>0</v>
      </c>
      <c r="V127">
        <f t="shared" si="479"/>
        <v>0</v>
      </c>
      <c r="X127">
        <f t="shared" si="480"/>
        <v>0</v>
      </c>
      <c r="Y127">
        <f t="shared" si="481"/>
        <v>0</v>
      </c>
      <c r="Z127">
        <f t="shared" si="482"/>
        <v>0</v>
      </c>
      <c r="AA127">
        <f t="shared" si="483"/>
        <v>0</v>
      </c>
      <c r="AB127" s="25"/>
      <c r="AC127" s="25"/>
      <c r="AD127" s="25"/>
      <c r="AF127" s="48"/>
      <c r="AG127" s="689"/>
      <c r="AH127" s="689"/>
      <c r="AI127" s="689"/>
      <c r="AJ127" s="689"/>
      <c r="AK127" s="689"/>
      <c r="AM127" s="16"/>
    </row>
    <row r="128" spans="1:39" x14ac:dyDescent="0.25">
      <c r="A128" s="690"/>
      <c r="B128" s="690"/>
      <c r="C128" s="690"/>
      <c r="D128" s="690"/>
      <c r="E128" s="690"/>
      <c r="F128" s="690"/>
      <c r="G128" s="889"/>
      <c r="H128" s="690"/>
      <c r="I128" s="690"/>
      <c r="J128" s="690"/>
      <c r="K128" s="690"/>
      <c r="L128" s="690"/>
      <c r="M128" s="690"/>
      <c r="N128" s="507" t="str">
        <f t="shared" si="324"/>
        <v/>
      </c>
      <c r="O128" s="690"/>
      <c r="P128" s="507" t="str">
        <f t="shared" si="325"/>
        <v/>
      </c>
      <c r="Q128" s="690"/>
      <c r="R128" s="690"/>
      <c r="S128" s="690"/>
      <c r="T128" s="690"/>
      <c r="U128">
        <f t="shared" si="478"/>
        <v>0</v>
      </c>
      <c r="V128">
        <f t="shared" si="479"/>
        <v>0</v>
      </c>
      <c r="X128">
        <f t="shared" si="480"/>
        <v>0</v>
      </c>
      <c r="Y128">
        <f t="shared" si="481"/>
        <v>0</v>
      </c>
      <c r="Z128">
        <f t="shared" si="482"/>
        <v>0</v>
      </c>
      <c r="AA128">
        <f t="shared" si="483"/>
        <v>0</v>
      </c>
      <c r="AB128" s="25"/>
      <c r="AC128" s="25"/>
      <c r="AD128" s="25"/>
      <c r="AF128" s="48"/>
      <c r="AG128" s="689"/>
      <c r="AH128" s="689"/>
      <c r="AI128" s="689"/>
      <c r="AJ128" s="689"/>
      <c r="AK128" s="689"/>
      <c r="AM128" s="16"/>
    </row>
    <row r="129" spans="1:41" x14ac:dyDescent="0.25">
      <c r="A129" s="690"/>
      <c r="B129" s="690"/>
      <c r="C129" s="690"/>
      <c r="D129" s="690"/>
      <c r="E129" s="690"/>
      <c r="F129" s="690"/>
      <c r="G129" s="889"/>
      <c r="H129" s="690"/>
      <c r="I129" s="690"/>
      <c r="J129" s="690"/>
      <c r="K129" s="690"/>
      <c r="L129" s="690"/>
      <c r="M129" s="690"/>
      <c r="N129" s="507" t="str">
        <f t="shared" si="324"/>
        <v/>
      </c>
      <c r="O129" s="690"/>
      <c r="P129" s="507" t="str">
        <f t="shared" si="325"/>
        <v/>
      </c>
      <c r="Q129" s="690"/>
      <c r="R129" s="690"/>
      <c r="S129" s="690"/>
      <c r="T129" s="690"/>
      <c r="U129">
        <f t="shared" si="478"/>
        <v>0</v>
      </c>
      <c r="V129">
        <f t="shared" si="479"/>
        <v>0</v>
      </c>
      <c r="X129">
        <f t="shared" si="480"/>
        <v>0</v>
      </c>
      <c r="Y129">
        <f t="shared" si="481"/>
        <v>0</v>
      </c>
      <c r="Z129">
        <f t="shared" si="482"/>
        <v>0</v>
      </c>
      <c r="AA129">
        <f t="shared" si="483"/>
        <v>0</v>
      </c>
      <c r="AB129" s="25"/>
      <c r="AC129" s="25"/>
      <c r="AD129" s="25"/>
      <c r="AF129" s="48"/>
      <c r="AG129" s="689"/>
      <c r="AH129" s="689"/>
      <c r="AI129" s="689"/>
      <c r="AJ129" s="689"/>
      <c r="AK129" s="689"/>
      <c r="AM129" s="16"/>
    </row>
    <row r="130" spans="1:41" x14ac:dyDescent="0.25">
      <c r="A130" s="690"/>
      <c r="B130" s="690"/>
      <c r="C130" s="690"/>
      <c r="D130" s="690"/>
      <c r="E130" s="690"/>
      <c r="F130" s="690"/>
      <c r="G130" s="889"/>
      <c r="H130" s="690"/>
      <c r="I130" s="690"/>
      <c r="J130" s="690"/>
      <c r="K130" s="690"/>
      <c r="L130" s="690"/>
      <c r="M130" s="690"/>
      <c r="N130" s="507" t="str">
        <f t="shared" si="324"/>
        <v/>
      </c>
      <c r="O130" s="690"/>
      <c r="P130" s="507" t="str">
        <f t="shared" si="325"/>
        <v/>
      </c>
      <c r="Q130" s="690"/>
      <c r="R130" s="690"/>
      <c r="S130" s="690"/>
      <c r="T130" s="690"/>
      <c r="U130">
        <f t="shared" si="478"/>
        <v>0</v>
      </c>
      <c r="V130">
        <f t="shared" si="479"/>
        <v>0</v>
      </c>
      <c r="X130">
        <f t="shared" si="480"/>
        <v>0</v>
      </c>
      <c r="Y130">
        <f t="shared" si="481"/>
        <v>0</v>
      </c>
      <c r="Z130">
        <f t="shared" si="482"/>
        <v>0</v>
      </c>
      <c r="AA130">
        <f t="shared" si="483"/>
        <v>0</v>
      </c>
      <c r="AB130" s="25"/>
      <c r="AC130" s="25"/>
      <c r="AD130" s="25"/>
      <c r="AF130" s="48"/>
      <c r="AG130" s="689"/>
      <c r="AH130" s="689"/>
      <c r="AI130" s="689"/>
      <c r="AJ130" s="689"/>
      <c r="AK130" s="689"/>
      <c r="AM130" s="16"/>
    </row>
    <row r="131" spans="1:41" x14ac:dyDescent="0.25">
      <c r="A131" s="690"/>
      <c r="B131" s="690"/>
      <c r="C131" s="690"/>
      <c r="D131" s="690"/>
      <c r="E131" s="690"/>
      <c r="F131" s="690"/>
      <c r="G131" s="889"/>
      <c r="H131" s="690"/>
      <c r="I131" s="690"/>
      <c r="J131" s="690"/>
      <c r="K131" s="690"/>
      <c r="L131" s="690"/>
      <c r="M131" s="690"/>
      <c r="N131" s="507" t="str">
        <f t="shared" si="324"/>
        <v/>
      </c>
      <c r="O131" s="690"/>
      <c r="P131" s="507" t="str">
        <f t="shared" si="325"/>
        <v/>
      </c>
      <c r="Q131" s="690"/>
      <c r="R131" s="690"/>
      <c r="S131" s="690"/>
      <c r="T131" s="690"/>
      <c r="U131">
        <f t="shared" si="478"/>
        <v>0</v>
      </c>
      <c r="V131">
        <f t="shared" si="479"/>
        <v>0</v>
      </c>
      <c r="X131">
        <f t="shared" si="480"/>
        <v>0</v>
      </c>
      <c r="Y131">
        <f t="shared" si="481"/>
        <v>0</v>
      </c>
      <c r="Z131">
        <f t="shared" si="482"/>
        <v>0</v>
      </c>
      <c r="AA131">
        <f t="shared" si="483"/>
        <v>0</v>
      </c>
      <c r="AB131" s="25"/>
      <c r="AC131" s="25"/>
      <c r="AD131" s="25"/>
      <c r="AF131" s="48"/>
      <c r="AG131" s="689"/>
      <c r="AH131" s="689"/>
      <c r="AI131" s="689"/>
      <c r="AJ131" s="689"/>
      <c r="AK131" s="689"/>
      <c r="AM131" s="16"/>
    </row>
    <row r="132" spans="1:41" x14ac:dyDescent="0.25">
      <c r="A132" s="690"/>
      <c r="B132" s="690"/>
      <c r="C132" s="690"/>
      <c r="D132" s="690"/>
      <c r="E132" s="690"/>
      <c r="F132" s="690"/>
      <c r="G132" s="889"/>
      <c r="H132" s="690"/>
      <c r="I132" s="690"/>
      <c r="J132" s="690"/>
      <c r="K132" s="690"/>
      <c r="L132" s="690"/>
      <c r="M132" s="690"/>
      <c r="N132" s="507" t="str">
        <f t="shared" si="324"/>
        <v/>
      </c>
      <c r="O132" s="690"/>
      <c r="P132" s="507" t="str">
        <f t="shared" si="325"/>
        <v/>
      </c>
      <c r="Q132" s="690"/>
      <c r="R132" s="690"/>
      <c r="S132" s="690"/>
      <c r="T132" s="690"/>
      <c r="U132">
        <f t="shared" si="478"/>
        <v>0</v>
      </c>
      <c r="V132">
        <f t="shared" si="479"/>
        <v>0</v>
      </c>
      <c r="X132">
        <f t="shared" si="480"/>
        <v>0</v>
      </c>
      <c r="Y132">
        <f t="shared" si="481"/>
        <v>0</v>
      </c>
      <c r="Z132">
        <f t="shared" si="482"/>
        <v>0</v>
      </c>
      <c r="AA132">
        <f t="shared" si="483"/>
        <v>0</v>
      </c>
      <c r="AB132" s="25"/>
      <c r="AC132" s="25"/>
      <c r="AD132" s="25"/>
      <c r="AF132" s="48"/>
      <c r="AG132" s="689"/>
      <c r="AH132" s="689"/>
      <c r="AI132" s="689"/>
      <c r="AJ132" s="689"/>
      <c r="AK132" s="689"/>
      <c r="AM132" s="16"/>
    </row>
    <row r="133" spans="1:41" x14ac:dyDescent="0.25">
      <c r="A133" s="690"/>
      <c r="B133" s="690"/>
      <c r="C133" s="690"/>
      <c r="D133" s="690"/>
      <c r="E133" s="690"/>
      <c r="F133" s="690"/>
      <c r="G133" s="889"/>
      <c r="H133" s="690"/>
      <c r="I133" s="690"/>
      <c r="J133" s="690"/>
      <c r="K133" s="690"/>
      <c r="L133" s="690"/>
      <c r="M133" s="690"/>
      <c r="N133" s="507" t="str">
        <f t="shared" si="324"/>
        <v/>
      </c>
      <c r="O133" s="690"/>
      <c r="P133" s="507" t="str">
        <f t="shared" si="325"/>
        <v/>
      </c>
      <c r="Q133" s="690"/>
      <c r="R133" s="690"/>
      <c r="S133" s="690"/>
      <c r="T133" s="690"/>
      <c r="U133">
        <f t="shared" si="478"/>
        <v>0</v>
      </c>
      <c r="V133">
        <f t="shared" si="479"/>
        <v>0</v>
      </c>
      <c r="X133">
        <f t="shared" si="480"/>
        <v>0</v>
      </c>
      <c r="Y133">
        <f t="shared" si="481"/>
        <v>0</v>
      </c>
      <c r="Z133">
        <f t="shared" si="482"/>
        <v>0</v>
      </c>
      <c r="AA133">
        <f t="shared" si="483"/>
        <v>0</v>
      </c>
      <c r="AB133" s="25"/>
      <c r="AC133" s="25"/>
      <c r="AD133" s="25"/>
      <c r="AF133" s="48"/>
      <c r="AG133" s="689"/>
      <c r="AH133" s="689"/>
      <c r="AI133" s="689"/>
      <c r="AJ133" s="689"/>
      <c r="AK133" s="689"/>
      <c r="AM133" s="16"/>
    </row>
    <row r="134" spans="1:41" x14ac:dyDescent="0.25">
      <c r="A134" s="690"/>
      <c r="B134" s="690"/>
      <c r="C134" s="690"/>
      <c r="D134" s="690"/>
      <c r="E134" s="690"/>
      <c r="F134" s="690"/>
      <c r="G134" s="889"/>
      <c r="H134" s="690"/>
      <c r="I134" s="690"/>
      <c r="J134" s="690"/>
      <c r="K134" s="690"/>
      <c r="L134" s="690"/>
      <c r="M134" s="690"/>
      <c r="N134" s="507" t="str">
        <f t="shared" si="324"/>
        <v/>
      </c>
      <c r="O134" s="690"/>
      <c r="P134" s="507" t="str">
        <f t="shared" si="325"/>
        <v/>
      </c>
      <c r="Q134" s="690"/>
      <c r="R134" s="690"/>
      <c r="S134" s="690"/>
      <c r="T134" s="690"/>
      <c r="U134">
        <f t="shared" si="478"/>
        <v>0</v>
      </c>
      <c r="V134">
        <f t="shared" si="479"/>
        <v>0</v>
      </c>
      <c r="X134">
        <f t="shared" si="480"/>
        <v>0</v>
      </c>
      <c r="Y134">
        <f t="shared" si="481"/>
        <v>0</v>
      </c>
      <c r="Z134">
        <f t="shared" si="482"/>
        <v>0</v>
      </c>
      <c r="AA134">
        <f t="shared" si="483"/>
        <v>0</v>
      </c>
      <c r="AB134" s="25"/>
      <c r="AC134" s="25"/>
      <c r="AD134" s="25"/>
      <c r="AF134" s="48"/>
      <c r="AG134" s="689"/>
      <c r="AH134" s="689"/>
      <c r="AI134" s="689"/>
      <c r="AJ134" s="689"/>
      <c r="AK134" s="689"/>
      <c r="AM134" s="16"/>
    </row>
    <row r="135" spans="1:41" x14ac:dyDescent="0.25">
      <c r="A135" s="690"/>
      <c r="B135" s="690"/>
      <c r="C135" s="690"/>
      <c r="D135" s="690"/>
      <c r="E135" s="690"/>
      <c r="F135" s="685"/>
      <c r="G135" s="889"/>
      <c r="H135" s="685"/>
      <c r="I135" s="685"/>
      <c r="J135" s="685"/>
      <c r="K135" s="685"/>
      <c r="L135" s="685"/>
      <c r="M135" s="690"/>
      <c r="N135" s="507" t="str">
        <f t="shared" si="324"/>
        <v/>
      </c>
      <c r="O135" s="690"/>
      <c r="P135" s="507" t="str">
        <f t="shared" si="325"/>
        <v/>
      </c>
      <c r="Q135" s="690"/>
      <c r="R135" s="690"/>
      <c r="S135" s="690"/>
      <c r="T135" s="690"/>
      <c r="U135">
        <f t="shared" si="478"/>
        <v>0</v>
      </c>
      <c r="V135">
        <f t="shared" si="479"/>
        <v>0</v>
      </c>
      <c r="W135" t="s">
        <v>26</v>
      </c>
      <c r="X135">
        <f t="shared" si="480"/>
        <v>0</v>
      </c>
      <c r="Y135">
        <f t="shared" si="481"/>
        <v>0</v>
      </c>
      <c r="Z135">
        <f t="shared" si="482"/>
        <v>0</v>
      </c>
      <c r="AA135">
        <f t="shared" si="483"/>
        <v>0</v>
      </c>
      <c r="AF135" s="48"/>
      <c r="AG135" s="1356"/>
      <c r="AH135" s="1356"/>
      <c r="AI135" s="1356"/>
      <c r="AJ135" s="1356"/>
      <c r="AK135" s="1356"/>
      <c r="AM135" s="16"/>
    </row>
    <row r="136" spans="1:41" x14ac:dyDescent="0.25">
      <c r="A136" s="690"/>
      <c r="B136" s="690"/>
      <c r="C136" s="690"/>
      <c r="D136" s="690"/>
      <c r="E136" s="690"/>
      <c r="F136" s="685"/>
      <c r="G136" s="889"/>
      <c r="H136" s="685"/>
      <c r="I136" s="685"/>
      <c r="J136" s="685"/>
      <c r="K136" s="685"/>
      <c r="L136" s="685"/>
      <c r="M136" s="690"/>
      <c r="N136" s="507" t="str">
        <f t="shared" si="324"/>
        <v/>
      </c>
      <c r="O136" s="690"/>
      <c r="P136" s="507" t="str">
        <f t="shared" si="325"/>
        <v/>
      </c>
      <c r="Q136" s="690"/>
      <c r="R136" s="690"/>
      <c r="S136" s="690"/>
      <c r="T136" s="690"/>
      <c r="U136">
        <f t="shared" si="478"/>
        <v>0</v>
      </c>
      <c r="V136">
        <f t="shared" si="479"/>
        <v>0</v>
      </c>
      <c r="W136" t="s">
        <v>28</v>
      </c>
      <c r="X136">
        <f t="shared" si="480"/>
        <v>0</v>
      </c>
      <c r="Y136">
        <f t="shared" si="481"/>
        <v>0</v>
      </c>
      <c r="Z136">
        <f t="shared" si="482"/>
        <v>0</v>
      </c>
      <c r="AA136">
        <f t="shared" si="483"/>
        <v>0</v>
      </c>
      <c r="AF136" s="49"/>
      <c r="AG136" s="1353"/>
      <c r="AH136" s="1353"/>
      <c r="AI136" s="1353"/>
      <c r="AJ136" s="1353"/>
      <c r="AK136" s="1353"/>
      <c r="AM136" s="16"/>
    </row>
    <row r="137" spans="1:41" x14ac:dyDescent="0.25">
      <c r="A137" s="690"/>
      <c r="B137" s="690"/>
      <c r="C137" s="690"/>
      <c r="D137" s="690"/>
      <c r="E137" s="690"/>
      <c r="F137" s="685"/>
      <c r="G137" s="889"/>
      <c r="H137" s="685"/>
      <c r="I137" s="685"/>
      <c r="J137" s="685"/>
      <c r="K137" s="685"/>
      <c r="L137" s="685"/>
      <c r="M137" s="690"/>
      <c r="N137" s="507" t="str">
        <f t="shared" si="324"/>
        <v/>
      </c>
      <c r="O137" s="690"/>
      <c r="P137" s="507" t="str">
        <f t="shared" si="325"/>
        <v/>
      </c>
      <c r="Q137" s="690"/>
      <c r="R137" s="690"/>
      <c r="S137" s="690"/>
      <c r="T137" s="690"/>
      <c r="U137">
        <f t="shared" si="478"/>
        <v>0</v>
      </c>
      <c r="V137">
        <f t="shared" si="479"/>
        <v>0</v>
      </c>
      <c r="X137">
        <f t="shared" si="480"/>
        <v>0</v>
      </c>
      <c r="Y137">
        <f t="shared" si="481"/>
        <v>0</v>
      </c>
      <c r="Z137">
        <f t="shared" si="482"/>
        <v>0</v>
      </c>
      <c r="AA137">
        <f t="shared" si="483"/>
        <v>0</v>
      </c>
      <c r="AF137" s="49"/>
      <c r="AG137" s="1353"/>
      <c r="AH137" s="1353"/>
      <c r="AI137" s="1353"/>
      <c r="AJ137" s="1353"/>
      <c r="AK137" s="1353"/>
      <c r="AM137" s="16"/>
      <c r="AO137" s="16"/>
    </row>
    <row r="138" spans="1:41" x14ac:dyDescent="0.25">
      <c r="A138" s="690"/>
      <c r="B138" s="690"/>
      <c r="C138" s="690"/>
      <c r="D138" s="690"/>
      <c r="E138" s="690"/>
      <c r="F138" s="685"/>
      <c r="G138" s="889"/>
      <c r="H138" s="685"/>
      <c r="I138" s="685"/>
      <c r="J138" s="685"/>
      <c r="K138" s="685"/>
      <c r="L138" s="685"/>
      <c r="M138" s="690"/>
      <c r="N138" s="507" t="str">
        <f t="shared" si="324"/>
        <v/>
      </c>
      <c r="O138" s="690"/>
      <c r="P138" s="507" t="str">
        <f t="shared" si="325"/>
        <v/>
      </c>
      <c r="Q138" s="690"/>
      <c r="R138" s="690"/>
      <c r="S138" s="690"/>
      <c r="T138" s="690"/>
      <c r="U138">
        <f t="shared" si="478"/>
        <v>0</v>
      </c>
      <c r="V138">
        <f t="shared" si="479"/>
        <v>0</v>
      </c>
      <c r="X138">
        <f t="shared" si="480"/>
        <v>0</v>
      </c>
      <c r="Y138">
        <f t="shared" si="481"/>
        <v>0</v>
      </c>
      <c r="Z138">
        <f t="shared" si="482"/>
        <v>0</v>
      </c>
      <c r="AA138">
        <f t="shared" si="483"/>
        <v>0</v>
      </c>
      <c r="AF138" s="49"/>
      <c r="AG138" s="1353"/>
      <c r="AH138" s="1353"/>
      <c r="AI138" s="1353"/>
      <c r="AJ138" s="1353"/>
      <c r="AK138" s="1353"/>
    </row>
    <row r="139" spans="1:41" x14ac:dyDescent="0.25">
      <c r="A139" s="690"/>
      <c r="B139" s="690"/>
      <c r="C139" s="690"/>
      <c r="D139" s="690"/>
      <c r="E139" s="690"/>
      <c r="F139" s="685"/>
      <c r="G139" s="889"/>
      <c r="H139" s="685"/>
      <c r="I139" s="685"/>
      <c r="J139" s="685"/>
      <c r="K139" s="685"/>
      <c r="L139" s="685"/>
      <c r="M139" s="690"/>
      <c r="N139" s="507" t="str">
        <f t="shared" si="324"/>
        <v/>
      </c>
      <c r="O139" s="690"/>
      <c r="P139" s="507" t="str">
        <f t="shared" si="325"/>
        <v/>
      </c>
      <c r="Q139" s="690"/>
      <c r="R139" s="690"/>
      <c r="S139" s="690"/>
      <c r="T139" s="690"/>
      <c r="U139">
        <f t="shared" ref="U139:U161" si="484">IF(A139&lt;&gt;"",1,0)</f>
        <v>0</v>
      </c>
      <c r="V139">
        <f t="shared" ref="V139:V161" si="485">IF(OR(J139="Yes",K139="Yes",L139="Yes"), 1, 0)</f>
        <v>0</v>
      </c>
      <c r="X139">
        <f t="shared" ref="X139:X161" si="486">IF(R139="Yes", 1, 0)</f>
        <v>0</v>
      </c>
      <c r="Y139">
        <f t="shared" ref="Y139:Y161" si="487">IF(S139="Yes", 1, 0)</f>
        <v>0</v>
      </c>
      <c r="Z139">
        <f t="shared" ref="Z139:Z161" si="488">IF(T139="Yes", 1, 0)</f>
        <v>0</v>
      </c>
      <c r="AA139">
        <f t="shared" ref="AA139:AA161" si="489">IF(Q139="Yes", 1,0)</f>
        <v>0</v>
      </c>
      <c r="AF139" s="1357"/>
      <c r="AG139" s="1357"/>
      <c r="AH139" s="1357"/>
      <c r="AI139" s="1357"/>
      <c r="AJ139" s="1357"/>
      <c r="AK139" s="1357"/>
    </row>
    <row r="140" spans="1:41" x14ac:dyDescent="0.25">
      <c r="A140" s="690"/>
      <c r="B140" s="690"/>
      <c r="C140" s="690"/>
      <c r="D140" s="690"/>
      <c r="E140" s="690"/>
      <c r="F140" s="685"/>
      <c r="G140" s="889"/>
      <c r="H140" s="685"/>
      <c r="I140" s="685"/>
      <c r="J140" s="685"/>
      <c r="K140" s="685"/>
      <c r="L140" s="685"/>
      <c r="M140" s="690"/>
      <c r="N140" s="507" t="str">
        <f t="shared" ref="N140:N161" si="490">IF(ISBLANK(M140),"",LEN(TRIM(M140))-LEN(SUBSTITUTE(TRIM(M140),",",""))+1)</f>
        <v/>
      </c>
      <c r="O140" s="690"/>
      <c r="P140" s="507" t="str">
        <f t="shared" ref="P140:P161" si="491">IF(ISBLANK(O140),"",LEN(TRIM(O140))-LEN(SUBSTITUTE(TRIM(O140),",",""))+1)</f>
        <v/>
      </c>
      <c r="Q140" s="690"/>
      <c r="R140" s="690"/>
      <c r="S140" s="690"/>
      <c r="T140" s="690"/>
      <c r="U140">
        <f t="shared" si="484"/>
        <v>0</v>
      </c>
      <c r="V140">
        <f t="shared" si="485"/>
        <v>0</v>
      </c>
      <c r="X140">
        <f t="shared" si="486"/>
        <v>0</v>
      </c>
      <c r="Y140">
        <f t="shared" si="487"/>
        <v>0</v>
      </c>
      <c r="Z140">
        <f t="shared" si="488"/>
        <v>0</v>
      </c>
      <c r="AA140">
        <f t="shared" si="489"/>
        <v>0</v>
      </c>
      <c r="AF140" s="1357"/>
      <c r="AG140" s="1357"/>
      <c r="AH140" s="1357"/>
      <c r="AI140" s="1357"/>
      <c r="AJ140" s="1357"/>
      <c r="AK140" s="1357"/>
    </row>
    <row r="141" spans="1:41" x14ac:dyDescent="0.25">
      <c r="A141" s="690"/>
      <c r="B141" s="690"/>
      <c r="C141" s="690"/>
      <c r="D141" s="690"/>
      <c r="E141" s="690"/>
      <c r="F141" s="685"/>
      <c r="G141" s="889"/>
      <c r="H141" s="685"/>
      <c r="I141" s="685"/>
      <c r="J141" s="685"/>
      <c r="K141" s="685"/>
      <c r="L141" s="685"/>
      <c r="M141" s="690"/>
      <c r="N141" s="507" t="str">
        <f t="shared" si="490"/>
        <v/>
      </c>
      <c r="O141" s="690"/>
      <c r="P141" s="507" t="str">
        <f t="shared" si="491"/>
        <v/>
      </c>
      <c r="Q141" s="690"/>
      <c r="R141" s="690"/>
      <c r="S141" s="690"/>
      <c r="T141" s="690"/>
      <c r="U141">
        <f t="shared" si="484"/>
        <v>0</v>
      </c>
      <c r="V141">
        <f t="shared" si="485"/>
        <v>0</v>
      </c>
      <c r="X141">
        <f t="shared" si="486"/>
        <v>0</v>
      </c>
      <c r="Y141">
        <f t="shared" si="487"/>
        <v>0</v>
      </c>
      <c r="Z141">
        <f t="shared" si="488"/>
        <v>0</v>
      </c>
      <c r="AA141">
        <f t="shared" si="489"/>
        <v>0</v>
      </c>
      <c r="AF141" s="1357"/>
      <c r="AG141" s="1357"/>
      <c r="AH141" s="1357"/>
      <c r="AI141" s="1357"/>
      <c r="AJ141" s="1357"/>
      <c r="AK141" s="1357"/>
    </row>
    <row r="142" spans="1:41" x14ac:dyDescent="0.25">
      <c r="A142" s="690"/>
      <c r="B142" s="690"/>
      <c r="C142" s="690"/>
      <c r="D142" s="690"/>
      <c r="E142" s="690"/>
      <c r="F142" s="685"/>
      <c r="G142" s="889"/>
      <c r="H142" s="685"/>
      <c r="I142" s="685"/>
      <c r="J142" s="685"/>
      <c r="K142" s="685"/>
      <c r="L142" s="685"/>
      <c r="M142" s="690"/>
      <c r="N142" s="507" t="str">
        <f t="shared" si="490"/>
        <v/>
      </c>
      <c r="O142" s="690"/>
      <c r="P142" s="507" t="str">
        <f t="shared" si="491"/>
        <v/>
      </c>
      <c r="Q142" s="690"/>
      <c r="R142" s="690"/>
      <c r="S142" s="690"/>
      <c r="T142" s="690"/>
      <c r="U142">
        <f t="shared" si="484"/>
        <v>0</v>
      </c>
      <c r="V142">
        <f t="shared" si="485"/>
        <v>0</v>
      </c>
      <c r="X142">
        <f t="shared" si="486"/>
        <v>0</v>
      </c>
      <c r="Y142">
        <f t="shared" si="487"/>
        <v>0</v>
      </c>
      <c r="Z142">
        <f t="shared" si="488"/>
        <v>0</v>
      </c>
      <c r="AA142">
        <f t="shared" si="489"/>
        <v>0</v>
      </c>
      <c r="AF142" s="1357"/>
      <c r="AG142" s="1357"/>
      <c r="AH142" s="1357"/>
      <c r="AI142" s="1357"/>
      <c r="AJ142" s="1357"/>
      <c r="AK142" s="1357"/>
    </row>
    <row r="143" spans="1:41" x14ac:dyDescent="0.25">
      <c r="A143" s="690"/>
      <c r="B143" s="690"/>
      <c r="C143" s="690"/>
      <c r="D143" s="690"/>
      <c r="E143" s="690"/>
      <c r="F143" s="685"/>
      <c r="G143" s="889"/>
      <c r="H143" s="685"/>
      <c r="I143" s="685"/>
      <c r="J143" s="685"/>
      <c r="K143" s="685"/>
      <c r="L143" s="685"/>
      <c r="M143" s="690"/>
      <c r="N143" s="507" t="str">
        <f t="shared" si="490"/>
        <v/>
      </c>
      <c r="O143" s="690"/>
      <c r="P143" s="507" t="str">
        <f t="shared" si="491"/>
        <v/>
      </c>
      <c r="Q143" s="690"/>
      <c r="R143" s="690"/>
      <c r="S143" s="690"/>
      <c r="T143" s="690"/>
      <c r="U143">
        <f t="shared" si="484"/>
        <v>0</v>
      </c>
      <c r="V143">
        <f t="shared" si="485"/>
        <v>0</v>
      </c>
      <c r="X143">
        <f t="shared" si="486"/>
        <v>0</v>
      </c>
      <c r="Y143">
        <f t="shared" si="487"/>
        <v>0</v>
      </c>
      <c r="Z143">
        <f t="shared" si="488"/>
        <v>0</v>
      </c>
      <c r="AA143">
        <f t="shared" si="489"/>
        <v>0</v>
      </c>
      <c r="AF143" s="1357"/>
      <c r="AG143" s="1357"/>
      <c r="AH143" s="1357"/>
      <c r="AI143" s="1357"/>
      <c r="AJ143" s="1357"/>
      <c r="AK143" s="1357"/>
    </row>
    <row r="144" spans="1:41" ht="15.75" customHeight="1" x14ac:dyDescent="0.25">
      <c r="A144" s="690"/>
      <c r="B144" s="690"/>
      <c r="C144" s="690"/>
      <c r="D144" s="690"/>
      <c r="E144" s="690"/>
      <c r="F144" s="685"/>
      <c r="G144" s="889"/>
      <c r="H144" s="685"/>
      <c r="I144" s="685"/>
      <c r="J144" s="685"/>
      <c r="K144" s="685"/>
      <c r="L144" s="685"/>
      <c r="M144" s="690"/>
      <c r="N144" s="507" t="str">
        <f t="shared" si="490"/>
        <v/>
      </c>
      <c r="O144" s="690"/>
      <c r="P144" s="507" t="str">
        <f t="shared" si="491"/>
        <v/>
      </c>
      <c r="Q144" s="690"/>
      <c r="R144" s="690"/>
      <c r="S144" s="690"/>
      <c r="T144" s="690"/>
      <c r="U144">
        <f t="shared" si="484"/>
        <v>0</v>
      </c>
      <c r="V144">
        <f t="shared" si="485"/>
        <v>0</v>
      </c>
      <c r="X144">
        <f t="shared" si="486"/>
        <v>0</v>
      </c>
      <c r="Y144">
        <f t="shared" si="487"/>
        <v>0</v>
      </c>
      <c r="Z144">
        <f t="shared" si="488"/>
        <v>0</v>
      </c>
      <c r="AA144">
        <f t="shared" si="489"/>
        <v>0</v>
      </c>
      <c r="AF144" s="49"/>
      <c r="AG144" s="1358"/>
      <c r="AH144" s="1358"/>
      <c r="AI144" s="1358"/>
      <c r="AJ144" s="1358"/>
      <c r="AK144" s="1358"/>
    </row>
    <row r="145" spans="1:37" x14ac:dyDescent="0.25">
      <c r="A145" s="690"/>
      <c r="B145" s="690"/>
      <c r="C145" s="690"/>
      <c r="D145" s="690"/>
      <c r="E145" s="690"/>
      <c r="F145" s="685"/>
      <c r="G145" s="889"/>
      <c r="H145" s="685"/>
      <c r="I145" s="685"/>
      <c r="J145" s="685"/>
      <c r="K145" s="685"/>
      <c r="L145" s="685"/>
      <c r="M145" s="690"/>
      <c r="N145" s="507" t="str">
        <f t="shared" si="490"/>
        <v/>
      </c>
      <c r="O145" s="690"/>
      <c r="P145" s="507" t="str">
        <f t="shared" si="491"/>
        <v/>
      </c>
      <c r="Q145" s="690"/>
      <c r="R145" s="690"/>
      <c r="S145" s="690"/>
      <c r="T145" s="690"/>
      <c r="U145">
        <f t="shared" si="484"/>
        <v>0</v>
      </c>
      <c r="V145">
        <f t="shared" si="485"/>
        <v>0</v>
      </c>
      <c r="X145">
        <f t="shared" si="486"/>
        <v>0</v>
      </c>
      <c r="Y145">
        <f t="shared" si="487"/>
        <v>0</v>
      </c>
      <c r="Z145">
        <f t="shared" si="488"/>
        <v>0</v>
      </c>
      <c r="AA145">
        <f t="shared" si="489"/>
        <v>0</v>
      </c>
      <c r="AF145" s="49"/>
      <c r="AG145" s="1358"/>
      <c r="AH145" s="1358"/>
      <c r="AI145" s="1358"/>
      <c r="AJ145" s="1358"/>
      <c r="AK145" s="1358"/>
    </row>
    <row r="146" spans="1:37" x14ac:dyDescent="0.25">
      <c r="A146" s="690"/>
      <c r="B146" s="690"/>
      <c r="C146" s="690"/>
      <c r="D146" s="690"/>
      <c r="E146" s="690"/>
      <c r="F146" s="685"/>
      <c r="G146" s="889"/>
      <c r="H146" s="685"/>
      <c r="I146" s="685"/>
      <c r="J146" s="685"/>
      <c r="K146" s="685"/>
      <c r="L146" s="685"/>
      <c r="M146" s="690"/>
      <c r="N146" s="507" t="str">
        <f t="shared" si="490"/>
        <v/>
      </c>
      <c r="O146" s="690"/>
      <c r="P146" s="507" t="str">
        <f t="shared" si="491"/>
        <v/>
      </c>
      <c r="Q146" s="690"/>
      <c r="R146" s="690"/>
      <c r="S146" s="690"/>
      <c r="T146" s="690"/>
      <c r="U146">
        <f t="shared" si="484"/>
        <v>0</v>
      </c>
      <c r="V146">
        <f t="shared" si="485"/>
        <v>0</v>
      </c>
      <c r="X146">
        <f t="shared" si="486"/>
        <v>0</v>
      </c>
      <c r="Y146">
        <f t="shared" si="487"/>
        <v>0</v>
      </c>
      <c r="Z146">
        <f t="shared" si="488"/>
        <v>0</v>
      </c>
      <c r="AA146">
        <f t="shared" si="489"/>
        <v>0</v>
      </c>
      <c r="AF146" s="49"/>
      <c r="AG146" s="1358"/>
      <c r="AH146" s="1358"/>
      <c r="AI146" s="1358"/>
      <c r="AJ146" s="1358"/>
      <c r="AK146" s="1358"/>
    </row>
    <row r="147" spans="1:37" x14ac:dyDescent="0.25">
      <c r="A147" s="690"/>
      <c r="B147" s="690"/>
      <c r="C147" s="690"/>
      <c r="D147" s="690"/>
      <c r="E147" s="690"/>
      <c r="F147" s="685"/>
      <c r="G147" s="889"/>
      <c r="H147" s="685"/>
      <c r="I147" s="685"/>
      <c r="J147" s="685"/>
      <c r="K147" s="685"/>
      <c r="L147" s="685"/>
      <c r="M147" s="690"/>
      <c r="N147" s="507" t="str">
        <f t="shared" si="490"/>
        <v/>
      </c>
      <c r="O147" s="690"/>
      <c r="P147" s="507" t="str">
        <f t="shared" si="491"/>
        <v/>
      </c>
      <c r="Q147" s="690"/>
      <c r="R147" s="690"/>
      <c r="S147" s="690"/>
      <c r="T147" s="690"/>
      <c r="U147">
        <f t="shared" si="484"/>
        <v>0</v>
      </c>
      <c r="V147">
        <f t="shared" si="485"/>
        <v>0</v>
      </c>
      <c r="X147">
        <f t="shared" si="486"/>
        <v>0</v>
      </c>
      <c r="Y147">
        <f t="shared" si="487"/>
        <v>0</v>
      </c>
      <c r="Z147">
        <f t="shared" si="488"/>
        <v>0</v>
      </c>
      <c r="AA147">
        <f t="shared" si="489"/>
        <v>0</v>
      </c>
      <c r="AF147" s="49"/>
      <c r="AG147" s="1354"/>
      <c r="AH147" s="1354"/>
      <c r="AI147" s="1354"/>
      <c r="AJ147" s="1354"/>
      <c r="AK147" s="1354"/>
    </row>
    <row r="148" spans="1:37" x14ac:dyDescent="0.25">
      <c r="A148" s="690"/>
      <c r="B148" s="690"/>
      <c r="C148" s="690"/>
      <c r="D148" s="690"/>
      <c r="E148" s="690"/>
      <c r="F148" s="685"/>
      <c r="G148" s="889"/>
      <c r="H148" s="685"/>
      <c r="I148" s="685"/>
      <c r="J148" s="685"/>
      <c r="K148" s="685"/>
      <c r="L148" s="685"/>
      <c r="M148" s="690"/>
      <c r="N148" s="507" t="str">
        <f t="shared" si="490"/>
        <v/>
      </c>
      <c r="O148" s="690"/>
      <c r="P148" s="507" t="str">
        <f t="shared" si="491"/>
        <v/>
      </c>
      <c r="Q148" s="690"/>
      <c r="R148" s="690"/>
      <c r="S148" s="690"/>
      <c r="T148" s="690"/>
      <c r="U148">
        <f t="shared" si="484"/>
        <v>0</v>
      </c>
      <c r="V148">
        <f t="shared" si="485"/>
        <v>0</v>
      </c>
      <c r="X148">
        <f t="shared" si="486"/>
        <v>0</v>
      </c>
      <c r="Y148">
        <f t="shared" si="487"/>
        <v>0</v>
      </c>
      <c r="Z148">
        <f t="shared" si="488"/>
        <v>0</v>
      </c>
      <c r="AA148">
        <f t="shared" si="489"/>
        <v>0</v>
      </c>
      <c r="AF148" s="49"/>
      <c r="AG148" s="1354"/>
      <c r="AH148" s="1354"/>
      <c r="AI148" s="1354"/>
      <c r="AJ148" s="1354"/>
      <c r="AK148" s="1354"/>
    </row>
    <row r="149" spans="1:37" x14ac:dyDescent="0.25">
      <c r="A149" s="690"/>
      <c r="B149" s="690"/>
      <c r="C149" s="690"/>
      <c r="D149" s="690"/>
      <c r="E149" s="690"/>
      <c r="F149" s="685"/>
      <c r="G149" s="889"/>
      <c r="H149" s="685"/>
      <c r="I149" s="685"/>
      <c r="J149" s="685"/>
      <c r="K149" s="685"/>
      <c r="L149" s="685"/>
      <c r="M149" s="690"/>
      <c r="N149" s="507" t="str">
        <f t="shared" si="490"/>
        <v/>
      </c>
      <c r="O149" s="690"/>
      <c r="P149" s="507" t="str">
        <f t="shared" si="491"/>
        <v/>
      </c>
      <c r="Q149" s="690"/>
      <c r="R149" s="690"/>
      <c r="S149" s="690"/>
      <c r="T149" s="690"/>
      <c r="U149">
        <f t="shared" si="484"/>
        <v>0</v>
      </c>
      <c r="V149">
        <f t="shared" si="485"/>
        <v>0</v>
      </c>
      <c r="X149">
        <f t="shared" si="486"/>
        <v>0</v>
      </c>
      <c r="Y149">
        <f t="shared" si="487"/>
        <v>0</v>
      </c>
      <c r="Z149">
        <f t="shared" si="488"/>
        <v>0</v>
      </c>
      <c r="AA149">
        <f t="shared" si="489"/>
        <v>0</v>
      </c>
      <c r="AF149" s="1359"/>
      <c r="AG149" s="1359"/>
      <c r="AH149" s="1359"/>
      <c r="AI149" s="1359"/>
      <c r="AJ149" s="1359"/>
      <c r="AK149" s="1359"/>
    </row>
    <row r="150" spans="1:37" x14ac:dyDescent="0.25">
      <c r="A150" s="690"/>
      <c r="B150" s="690"/>
      <c r="C150" s="690"/>
      <c r="D150" s="690"/>
      <c r="E150" s="690"/>
      <c r="F150" s="685"/>
      <c r="G150" s="889"/>
      <c r="H150" s="685"/>
      <c r="I150" s="685"/>
      <c r="J150" s="685"/>
      <c r="K150" s="685"/>
      <c r="L150" s="685"/>
      <c r="M150" s="690"/>
      <c r="N150" s="507" t="str">
        <f t="shared" si="490"/>
        <v/>
      </c>
      <c r="O150" s="690"/>
      <c r="P150" s="507" t="str">
        <f t="shared" si="491"/>
        <v/>
      </c>
      <c r="Q150" s="690"/>
      <c r="R150" s="690"/>
      <c r="S150" s="690"/>
      <c r="T150" s="690"/>
      <c r="U150">
        <f t="shared" si="484"/>
        <v>0</v>
      </c>
      <c r="V150">
        <f t="shared" si="485"/>
        <v>0</v>
      </c>
      <c r="X150">
        <f t="shared" si="486"/>
        <v>0</v>
      </c>
      <c r="Y150">
        <f t="shared" si="487"/>
        <v>0</v>
      </c>
      <c r="Z150">
        <f t="shared" si="488"/>
        <v>0</v>
      </c>
      <c r="AA150">
        <f t="shared" si="489"/>
        <v>0</v>
      </c>
      <c r="AF150" s="49"/>
      <c r="AG150" s="1353"/>
      <c r="AH150" s="1353"/>
      <c r="AI150" s="1353"/>
      <c r="AJ150" s="1353"/>
      <c r="AK150" s="1353"/>
    </row>
    <row r="151" spans="1:37" x14ac:dyDescent="0.25">
      <c r="A151" s="690"/>
      <c r="B151" s="690"/>
      <c r="C151" s="690"/>
      <c r="D151" s="690"/>
      <c r="E151" s="690"/>
      <c r="F151" s="685"/>
      <c r="G151" s="889"/>
      <c r="H151" s="685"/>
      <c r="I151" s="685"/>
      <c r="J151" s="685"/>
      <c r="K151" s="685"/>
      <c r="L151" s="685"/>
      <c r="M151" s="690"/>
      <c r="N151" s="507" t="str">
        <f t="shared" si="490"/>
        <v/>
      </c>
      <c r="O151" s="690"/>
      <c r="P151" s="507" t="str">
        <f t="shared" si="491"/>
        <v/>
      </c>
      <c r="Q151" s="690"/>
      <c r="R151" s="690"/>
      <c r="S151" s="690"/>
      <c r="T151" s="690"/>
      <c r="U151">
        <f t="shared" si="484"/>
        <v>0</v>
      </c>
      <c r="V151">
        <f t="shared" si="485"/>
        <v>0</v>
      </c>
      <c r="X151">
        <f t="shared" si="486"/>
        <v>0</v>
      </c>
      <c r="Y151">
        <f t="shared" si="487"/>
        <v>0</v>
      </c>
      <c r="Z151">
        <f t="shared" si="488"/>
        <v>0</v>
      </c>
      <c r="AA151">
        <f t="shared" si="489"/>
        <v>0</v>
      </c>
      <c r="AF151" s="49"/>
      <c r="AG151" s="1353"/>
      <c r="AH151" s="1353"/>
      <c r="AI151" s="1353"/>
      <c r="AJ151" s="1353"/>
      <c r="AK151" s="1353"/>
    </row>
    <row r="152" spans="1:37" x14ac:dyDescent="0.25">
      <c r="A152" s="690"/>
      <c r="B152" s="690"/>
      <c r="C152" s="690"/>
      <c r="D152" s="690"/>
      <c r="E152" s="690"/>
      <c r="F152" s="685"/>
      <c r="G152" s="889"/>
      <c r="H152" s="685"/>
      <c r="I152" s="685"/>
      <c r="J152" s="685"/>
      <c r="K152" s="685"/>
      <c r="L152" s="685"/>
      <c r="M152" s="690"/>
      <c r="N152" s="507" t="str">
        <f t="shared" si="490"/>
        <v/>
      </c>
      <c r="O152" s="690"/>
      <c r="P152" s="507" t="str">
        <f t="shared" si="491"/>
        <v/>
      </c>
      <c r="Q152" s="690"/>
      <c r="R152" s="690"/>
      <c r="S152" s="690"/>
      <c r="T152" s="690"/>
      <c r="U152">
        <f t="shared" si="484"/>
        <v>0</v>
      </c>
      <c r="V152">
        <f t="shared" si="485"/>
        <v>0</v>
      </c>
      <c r="X152">
        <f t="shared" si="486"/>
        <v>0</v>
      </c>
      <c r="Y152">
        <f t="shared" si="487"/>
        <v>0</v>
      </c>
      <c r="Z152">
        <f t="shared" si="488"/>
        <v>0</v>
      </c>
      <c r="AA152">
        <f t="shared" si="489"/>
        <v>0</v>
      </c>
      <c r="AF152" s="49"/>
      <c r="AG152" s="1353"/>
      <c r="AH152" s="1353"/>
      <c r="AI152" s="1353"/>
      <c r="AJ152" s="1353"/>
      <c r="AK152" s="1353"/>
    </row>
    <row r="153" spans="1:37" x14ac:dyDescent="0.25">
      <c r="A153" s="690"/>
      <c r="B153" s="690"/>
      <c r="C153" s="690"/>
      <c r="D153" s="690"/>
      <c r="E153" s="690"/>
      <c r="F153" s="685"/>
      <c r="G153" s="889"/>
      <c r="H153" s="685"/>
      <c r="I153" s="685"/>
      <c r="J153" s="685"/>
      <c r="K153" s="685"/>
      <c r="L153" s="685"/>
      <c r="M153" s="690"/>
      <c r="N153" s="507" t="str">
        <f t="shared" si="490"/>
        <v/>
      </c>
      <c r="O153" s="690"/>
      <c r="P153" s="507" t="str">
        <f t="shared" si="491"/>
        <v/>
      </c>
      <c r="Q153" s="690"/>
      <c r="R153" s="690"/>
      <c r="S153" s="690"/>
      <c r="T153" s="690"/>
      <c r="U153">
        <f t="shared" si="484"/>
        <v>0</v>
      </c>
      <c r="V153">
        <f t="shared" si="485"/>
        <v>0</v>
      </c>
      <c r="X153">
        <f t="shared" si="486"/>
        <v>0</v>
      </c>
      <c r="Y153">
        <f t="shared" si="487"/>
        <v>0</v>
      </c>
      <c r="Z153">
        <f t="shared" si="488"/>
        <v>0</v>
      </c>
      <c r="AA153">
        <f t="shared" si="489"/>
        <v>0</v>
      </c>
      <c r="AF153" s="49"/>
      <c r="AG153" s="1353"/>
      <c r="AH153" s="1353"/>
      <c r="AI153" s="1353"/>
      <c r="AJ153" s="1353"/>
      <c r="AK153" s="1353"/>
    </row>
    <row r="154" spans="1:37" x14ac:dyDescent="0.25">
      <c r="A154" s="690"/>
      <c r="B154" s="690"/>
      <c r="C154" s="690"/>
      <c r="D154" s="690"/>
      <c r="E154" s="690"/>
      <c r="F154" s="685"/>
      <c r="G154" s="889"/>
      <c r="H154" s="685"/>
      <c r="I154" s="685"/>
      <c r="J154" s="685"/>
      <c r="K154" s="685"/>
      <c r="L154" s="685"/>
      <c r="M154" s="690"/>
      <c r="N154" s="507" t="str">
        <f t="shared" si="490"/>
        <v/>
      </c>
      <c r="O154" s="690"/>
      <c r="P154" s="507" t="str">
        <f t="shared" si="491"/>
        <v/>
      </c>
      <c r="Q154" s="690"/>
      <c r="R154" s="690"/>
      <c r="S154" s="690"/>
      <c r="T154" s="690"/>
      <c r="U154">
        <f t="shared" si="484"/>
        <v>0</v>
      </c>
      <c r="V154">
        <f t="shared" si="485"/>
        <v>0</v>
      </c>
      <c r="X154">
        <f t="shared" si="486"/>
        <v>0</v>
      </c>
      <c r="Y154">
        <f t="shared" si="487"/>
        <v>0</v>
      </c>
      <c r="Z154">
        <f t="shared" si="488"/>
        <v>0</v>
      </c>
      <c r="AA154">
        <f t="shared" si="489"/>
        <v>0</v>
      </c>
      <c r="AF154" s="49"/>
      <c r="AG154" s="1353"/>
      <c r="AH154" s="1353"/>
      <c r="AI154" s="1353"/>
      <c r="AJ154" s="1353"/>
      <c r="AK154" s="1353"/>
    </row>
    <row r="155" spans="1:37" ht="15.75" customHeight="1" x14ac:dyDescent="0.25">
      <c r="A155" s="690"/>
      <c r="B155" s="690"/>
      <c r="C155" s="690"/>
      <c r="D155" s="690"/>
      <c r="E155" s="690"/>
      <c r="F155" s="685"/>
      <c r="G155" s="889"/>
      <c r="H155" s="685"/>
      <c r="I155" s="685"/>
      <c r="J155" s="685"/>
      <c r="K155" s="685"/>
      <c r="L155" s="685"/>
      <c r="M155" s="690"/>
      <c r="N155" s="507" t="str">
        <f t="shared" si="490"/>
        <v/>
      </c>
      <c r="O155" s="690"/>
      <c r="P155" s="507" t="str">
        <f t="shared" si="491"/>
        <v/>
      </c>
      <c r="Q155" s="690"/>
      <c r="R155" s="690"/>
      <c r="S155" s="690"/>
      <c r="T155" s="690"/>
      <c r="U155">
        <f t="shared" si="484"/>
        <v>0</v>
      </c>
      <c r="V155">
        <f t="shared" si="485"/>
        <v>0</v>
      </c>
      <c r="X155">
        <f t="shared" si="486"/>
        <v>0</v>
      </c>
      <c r="Y155">
        <f t="shared" si="487"/>
        <v>0</v>
      </c>
      <c r="Z155">
        <f t="shared" si="488"/>
        <v>0</v>
      </c>
      <c r="AA155">
        <f t="shared" si="489"/>
        <v>0</v>
      </c>
      <c r="AF155" s="1358"/>
      <c r="AG155" s="1358"/>
      <c r="AH155" s="1358"/>
      <c r="AI155" s="1358"/>
      <c r="AJ155" s="1358"/>
      <c r="AK155" s="1358"/>
    </row>
    <row r="156" spans="1:37" x14ac:dyDescent="0.25">
      <c r="A156" s="690"/>
      <c r="B156" s="690"/>
      <c r="C156" s="690"/>
      <c r="D156" s="690"/>
      <c r="E156" s="690"/>
      <c r="F156" s="685"/>
      <c r="G156" s="889"/>
      <c r="H156" s="685"/>
      <c r="I156" s="685"/>
      <c r="J156" s="685"/>
      <c r="K156" s="685"/>
      <c r="L156" s="685"/>
      <c r="M156" s="690"/>
      <c r="N156" s="507" t="str">
        <f t="shared" si="490"/>
        <v/>
      </c>
      <c r="O156" s="690"/>
      <c r="P156" s="507" t="str">
        <f t="shared" si="491"/>
        <v/>
      </c>
      <c r="Q156" s="690"/>
      <c r="R156" s="690"/>
      <c r="S156" s="690"/>
      <c r="T156" s="690"/>
      <c r="U156">
        <f t="shared" si="484"/>
        <v>0</v>
      </c>
      <c r="V156">
        <f t="shared" si="485"/>
        <v>0</v>
      </c>
      <c r="X156">
        <f t="shared" si="486"/>
        <v>0</v>
      </c>
      <c r="Y156">
        <f t="shared" si="487"/>
        <v>0</v>
      </c>
      <c r="Z156">
        <f t="shared" si="488"/>
        <v>0</v>
      </c>
      <c r="AA156">
        <f t="shared" si="489"/>
        <v>0</v>
      </c>
      <c r="AF156" s="1358"/>
      <c r="AG156" s="1358"/>
      <c r="AH156" s="1358"/>
      <c r="AI156" s="1358"/>
      <c r="AJ156" s="1358"/>
      <c r="AK156" s="1358"/>
    </row>
    <row r="157" spans="1:37" x14ac:dyDescent="0.25">
      <c r="A157" s="690"/>
      <c r="B157" s="690"/>
      <c r="C157" s="690"/>
      <c r="D157" s="690"/>
      <c r="E157" s="690"/>
      <c r="F157" s="685"/>
      <c r="G157" s="889"/>
      <c r="H157" s="685"/>
      <c r="I157" s="685"/>
      <c r="J157" s="685"/>
      <c r="K157" s="685"/>
      <c r="L157" s="685"/>
      <c r="M157" s="690"/>
      <c r="N157" s="507" t="str">
        <f t="shared" si="490"/>
        <v/>
      </c>
      <c r="O157" s="690"/>
      <c r="P157" s="507" t="str">
        <f t="shared" si="491"/>
        <v/>
      </c>
      <c r="Q157" s="690"/>
      <c r="R157" s="690"/>
      <c r="S157" s="690"/>
      <c r="T157" s="690"/>
      <c r="U157">
        <f t="shared" si="484"/>
        <v>0</v>
      </c>
      <c r="V157">
        <f t="shared" si="485"/>
        <v>0</v>
      </c>
      <c r="X157">
        <f t="shared" si="486"/>
        <v>0</v>
      </c>
      <c r="Y157">
        <f t="shared" si="487"/>
        <v>0</v>
      </c>
      <c r="Z157">
        <f t="shared" si="488"/>
        <v>0</v>
      </c>
      <c r="AA157">
        <f t="shared" si="489"/>
        <v>0</v>
      </c>
      <c r="AF157" s="1358"/>
      <c r="AG157" s="1358"/>
      <c r="AH157" s="1358"/>
      <c r="AI157" s="1358"/>
      <c r="AJ157" s="1358"/>
      <c r="AK157" s="1358"/>
    </row>
    <row r="158" spans="1:37" x14ac:dyDescent="0.25">
      <c r="A158" s="690"/>
      <c r="B158" s="690"/>
      <c r="C158" s="690"/>
      <c r="D158" s="690"/>
      <c r="E158" s="690"/>
      <c r="F158" s="685"/>
      <c r="G158" s="889"/>
      <c r="H158" s="685"/>
      <c r="I158" s="685"/>
      <c r="J158" s="685"/>
      <c r="K158" s="685"/>
      <c r="L158" s="685"/>
      <c r="M158" s="690"/>
      <c r="N158" s="507" t="str">
        <f t="shared" si="490"/>
        <v/>
      </c>
      <c r="O158" s="690"/>
      <c r="P158" s="507" t="str">
        <f t="shared" si="491"/>
        <v/>
      </c>
      <c r="Q158" s="690"/>
      <c r="R158" s="690"/>
      <c r="S158" s="690"/>
      <c r="T158" s="690"/>
      <c r="U158">
        <f t="shared" si="484"/>
        <v>0</v>
      </c>
      <c r="V158">
        <f t="shared" si="485"/>
        <v>0</v>
      </c>
      <c r="X158">
        <f t="shared" si="486"/>
        <v>0</v>
      </c>
      <c r="Y158">
        <f t="shared" si="487"/>
        <v>0</v>
      </c>
      <c r="Z158">
        <f t="shared" si="488"/>
        <v>0</v>
      </c>
      <c r="AA158">
        <f t="shared" si="489"/>
        <v>0</v>
      </c>
      <c r="AF158" s="1354"/>
      <c r="AG158" s="1354"/>
      <c r="AH158" s="1354"/>
      <c r="AI158" s="1354"/>
      <c r="AJ158" s="1354"/>
      <c r="AK158" s="1354"/>
    </row>
    <row r="159" spans="1:37" x14ac:dyDescent="0.25">
      <c r="A159" s="690"/>
      <c r="B159" s="690"/>
      <c r="C159" s="690"/>
      <c r="D159" s="690"/>
      <c r="E159" s="690"/>
      <c r="F159" s="685"/>
      <c r="G159" s="889"/>
      <c r="H159" s="685"/>
      <c r="I159" s="685"/>
      <c r="J159" s="685"/>
      <c r="K159" s="685"/>
      <c r="L159" s="685"/>
      <c r="M159" s="690"/>
      <c r="N159" s="507" t="str">
        <f t="shared" si="490"/>
        <v/>
      </c>
      <c r="O159" s="690"/>
      <c r="P159" s="507" t="str">
        <f t="shared" si="491"/>
        <v/>
      </c>
      <c r="Q159" s="690"/>
      <c r="R159" s="690"/>
      <c r="S159" s="690"/>
      <c r="T159" s="690"/>
      <c r="U159">
        <f t="shared" si="484"/>
        <v>0</v>
      </c>
      <c r="V159">
        <f t="shared" si="485"/>
        <v>0</v>
      </c>
      <c r="X159">
        <f t="shared" si="486"/>
        <v>0</v>
      </c>
      <c r="Y159">
        <f t="shared" si="487"/>
        <v>0</v>
      </c>
      <c r="Z159">
        <f t="shared" si="488"/>
        <v>0</v>
      </c>
      <c r="AA159">
        <f t="shared" si="489"/>
        <v>0</v>
      </c>
      <c r="AF159" s="1354"/>
      <c r="AG159" s="1354"/>
      <c r="AH159" s="1354"/>
      <c r="AI159" s="1354"/>
      <c r="AJ159" s="1354"/>
      <c r="AK159" s="1354"/>
    </row>
    <row r="160" spans="1:37" x14ac:dyDescent="0.25">
      <c r="A160" s="690"/>
      <c r="B160" s="690"/>
      <c r="C160" s="690"/>
      <c r="D160" s="690"/>
      <c r="E160" s="690"/>
      <c r="F160" s="685"/>
      <c r="G160" s="889"/>
      <c r="H160" s="685"/>
      <c r="I160" s="685"/>
      <c r="J160" s="685"/>
      <c r="K160" s="685"/>
      <c r="L160" s="685"/>
      <c r="M160" s="690"/>
      <c r="N160" s="507" t="str">
        <f t="shared" si="490"/>
        <v/>
      </c>
      <c r="O160" s="690"/>
      <c r="P160" s="507" t="str">
        <f t="shared" si="491"/>
        <v/>
      </c>
      <c r="Q160" s="690"/>
      <c r="R160" s="690"/>
      <c r="S160" s="690"/>
      <c r="T160" s="690"/>
      <c r="U160">
        <f t="shared" si="484"/>
        <v>0</v>
      </c>
      <c r="V160">
        <f t="shared" si="485"/>
        <v>0</v>
      </c>
      <c r="X160">
        <f t="shared" si="486"/>
        <v>0</v>
      </c>
      <c r="Y160">
        <f t="shared" si="487"/>
        <v>0</v>
      </c>
      <c r="Z160">
        <f t="shared" si="488"/>
        <v>0</v>
      </c>
      <c r="AA160">
        <f t="shared" si="489"/>
        <v>0</v>
      </c>
      <c r="AF160" s="1353"/>
      <c r="AG160" s="1353"/>
      <c r="AH160" s="1353"/>
      <c r="AI160" s="1353"/>
      <c r="AJ160" s="1353"/>
      <c r="AK160" s="1353"/>
    </row>
    <row r="161" spans="1:37" ht="15.75" customHeight="1" x14ac:dyDescent="0.25">
      <c r="A161" s="690"/>
      <c r="B161" s="690"/>
      <c r="C161" s="690"/>
      <c r="D161" s="690"/>
      <c r="E161" s="690"/>
      <c r="F161" s="685"/>
      <c r="G161" s="889"/>
      <c r="H161" s="685"/>
      <c r="I161" s="685"/>
      <c r="J161" s="685"/>
      <c r="K161" s="685"/>
      <c r="L161" s="685"/>
      <c r="M161" s="690"/>
      <c r="N161" s="507" t="str">
        <f t="shared" si="490"/>
        <v/>
      </c>
      <c r="O161" s="690"/>
      <c r="P161" s="507" t="str">
        <f t="shared" si="491"/>
        <v/>
      </c>
      <c r="Q161" s="690"/>
      <c r="R161" s="690"/>
      <c r="S161" s="690"/>
      <c r="T161" s="690"/>
      <c r="U161">
        <f t="shared" si="484"/>
        <v>0</v>
      </c>
      <c r="V161">
        <f t="shared" si="485"/>
        <v>0</v>
      </c>
      <c r="X161">
        <f t="shared" si="486"/>
        <v>0</v>
      </c>
      <c r="Y161">
        <f t="shared" si="487"/>
        <v>0</v>
      </c>
      <c r="Z161">
        <f t="shared" si="488"/>
        <v>0</v>
      </c>
      <c r="AA161">
        <f t="shared" si="489"/>
        <v>0</v>
      </c>
      <c r="AF161" s="1358"/>
      <c r="AG161" s="1358"/>
      <c r="AH161" s="1358"/>
      <c r="AI161" s="1358"/>
      <c r="AJ161" s="1358"/>
      <c r="AK161" s="1358"/>
    </row>
    <row r="162" spans="1:37" x14ac:dyDescent="0.25">
      <c r="U162">
        <f>SUM(U11:U161)</f>
        <v>0</v>
      </c>
      <c r="V162">
        <f>SUM(V11:V161)</f>
        <v>0</v>
      </c>
      <c r="X162">
        <f>SUM(X11:X161)</f>
        <v>0</v>
      </c>
      <c r="Y162">
        <f>SUM(Y11:Y161)</f>
        <v>0</v>
      </c>
      <c r="Z162">
        <f>SUM(Z11:Z161)</f>
        <v>0</v>
      </c>
      <c r="AA162">
        <f>SUM(AA11:AA161)</f>
        <v>0</v>
      </c>
    </row>
    <row r="163" spans="1:37" ht="21" x14ac:dyDescent="0.35">
      <c r="A163" s="1056" t="s">
        <v>117</v>
      </c>
      <c r="B163" s="1056"/>
      <c r="C163" s="643" t="s">
        <v>118</v>
      </c>
    </row>
    <row r="164" spans="1:37" ht="15.75" thickBot="1" x14ac:dyDescent="0.3"/>
    <row r="165" spans="1:37" ht="15.75" thickBot="1" x14ac:dyDescent="0.3">
      <c r="A165" s="154" t="s">
        <v>218</v>
      </c>
      <c r="B165" s="155" t="s">
        <v>149</v>
      </c>
      <c r="C165" s="156" t="s">
        <v>34</v>
      </c>
    </row>
    <row r="166" spans="1:37" x14ac:dyDescent="0.25">
      <c r="A166" s="1362" t="s">
        <v>737</v>
      </c>
      <c r="B166" s="50" t="s">
        <v>738</v>
      </c>
      <c r="C166" s="1364">
        <f>IF(U162&gt;=20, 20, IF(U162&gt;=10, 10, IF(U162&gt;=5, 5, IF(U162&gt;=1, 1, 0))))</f>
        <v>0</v>
      </c>
    </row>
    <row r="167" spans="1:37" x14ac:dyDescent="0.25">
      <c r="A167" s="1363"/>
      <c r="B167" s="51" t="s">
        <v>739</v>
      </c>
      <c r="C167" s="1365"/>
    </row>
    <row r="168" spans="1:37" x14ac:dyDescent="0.25">
      <c r="A168" s="1363"/>
      <c r="B168" s="702" t="s">
        <v>740</v>
      </c>
      <c r="C168" s="1365"/>
    </row>
    <row r="169" spans="1:37" x14ac:dyDescent="0.25">
      <c r="A169" s="1363"/>
      <c r="B169" s="702" t="s">
        <v>741</v>
      </c>
      <c r="C169" s="1365"/>
    </row>
    <row r="170" spans="1:37" x14ac:dyDescent="0.25">
      <c r="A170" s="1363"/>
      <c r="B170" s="702" t="s">
        <v>742</v>
      </c>
      <c r="C170" s="1365"/>
    </row>
    <row r="171" spans="1:37" ht="105" x14ac:dyDescent="0.25">
      <c r="A171" s="1363" t="s">
        <v>743</v>
      </c>
      <c r="B171" s="52" t="s">
        <v>744</v>
      </c>
      <c r="C171" s="687">
        <f>IF(V162&gt;=20, 20, V162)</f>
        <v>0</v>
      </c>
    </row>
    <row r="172" spans="1:37" ht="45" x14ac:dyDescent="0.25">
      <c r="A172" s="1363"/>
      <c r="B172" s="33" t="s">
        <v>745</v>
      </c>
      <c r="C172" s="687">
        <f>IF(GG92&gt;=8, 8, GG92)</f>
        <v>0</v>
      </c>
    </row>
    <row r="173" spans="1:37" x14ac:dyDescent="0.25">
      <c r="A173" s="1363" t="s">
        <v>746</v>
      </c>
      <c r="B173" s="702" t="s">
        <v>747</v>
      </c>
      <c r="C173" s="1365">
        <f>IF(GG78&gt;=1, 20, IF(GG78&gt;=0.5, 10, IF(GG78&gt;=0.25, 5, IF(GG78&gt;=0.01, 1, 0))))</f>
        <v>0</v>
      </c>
    </row>
    <row r="174" spans="1:37" x14ac:dyDescent="0.25">
      <c r="A174" s="1363"/>
      <c r="B174" s="702" t="s">
        <v>748</v>
      </c>
      <c r="C174" s="1365"/>
    </row>
    <row r="175" spans="1:37" x14ac:dyDescent="0.25">
      <c r="A175" s="1363"/>
      <c r="B175" s="702" t="s">
        <v>749</v>
      </c>
      <c r="C175" s="1365"/>
    </row>
    <row r="176" spans="1:37" x14ac:dyDescent="0.25">
      <c r="A176" s="1363"/>
      <c r="B176" s="702" t="s">
        <v>750</v>
      </c>
      <c r="C176" s="1365"/>
    </row>
    <row r="177" spans="1:17" x14ac:dyDescent="0.25">
      <c r="A177" s="1363"/>
      <c r="B177" s="702" t="s">
        <v>751</v>
      </c>
      <c r="C177" s="1365"/>
    </row>
    <row r="178" spans="1:17" ht="75" x14ac:dyDescent="0.25">
      <c r="A178" s="44" t="s">
        <v>752</v>
      </c>
      <c r="B178" s="702" t="s">
        <v>753</v>
      </c>
      <c r="C178" s="687">
        <f>IF(AA162&gt;=20, 20, AA162)</f>
        <v>0</v>
      </c>
    </row>
    <row r="179" spans="1:17" ht="45" x14ac:dyDescent="0.25">
      <c r="A179" s="44" t="s">
        <v>754</v>
      </c>
      <c r="B179" s="702" t="s">
        <v>753</v>
      </c>
      <c r="C179" s="687">
        <f>IF(X162&gt;=20, 20, X162)</f>
        <v>0</v>
      </c>
    </row>
    <row r="180" spans="1:17" ht="30" x14ac:dyDescent="0.25">
      <c r="A180" s="44" t="s">
        <v>755</v>
      </c>
      <c r="B180" s="702" t="s">
        <v>753</v>
      </c>
      <c r="C180" s="687">
        <f>IF(Y162&gt;=20, 20, Y162)</f>
        <v>0</v>
      </c>
    </row>
    <row r="181" spans="1:17" ht="45.75" thickBot="1" x14ac:dyDescent="0.3">
      <c r="A181" s="53" t="s">
        <v>756</v>
      </c>
      <c r="B181" s="27" t="s">
        <v>753</v>
      </c>
      <c r="C181" s="54">
        <f>IF(Z162&gt;=20, 20, Z162)</f>
        <v>0</v>
      </c>
    </row>
    <row r="182" spans="1:17" ht="15.75" thickBot="1" x14ac:dyDescent="0.3">
      <c r="A182" s="1360" t="s">
        <v>757</v>
      </c>
      <c r="B182" s="1361"/>
      <c r="C182" s="55">
        <f>SUM(C166:C181)</f>
        <v>0</v>
      </c>
    </row>
    <row r="188" spans="1:17" hidden="1" x14ac:dyDescent="0.25">
      <c r="E188" s="317">
        <f>SUM(N11:N161)</f>
        <v>0</v>
      </c>
      <c r="P188">
        <f>SUM(P11:P161)</f>
        <v>0</v>
      </c>
      <c r="Q188">
        <f>P188/67</f>
        <v>0</v>
      </c>
    </row>
    <row r="233" spans="14:17" hidden="1" x14ac:dyDescent="0.25">
      <c r="N233">
        <f>SUM(N135:N229)</f>
        <v>0</v>
      </c>
      <c r="P233">
        <f>SUM(P135:P229)/67</f>
        <v>0</v>
      </c>
    </row>
    <row r="234" spans="14:17" hidden="1" x14ac:dyDescent="0.25">
      <c r="Q234">
        <f>SUM(Q135:Q232)</f>
        <v>0</v>
      </c>
    </row>
    <row r="235" spans="14:17" hidden="1" x14ac:dyDescent="0.25"/>
  </sheetData>
  <mergeCells count="25">
    <mergeCell ref="A163:B163"/>
    <mergeCell ref="AF155:AK157"/>
    <mergeCell ref="AF158:AK159"/>
    <mergeCell ref="AF160:AK160"/>
    <mergeCell ref="AF161:AK161"/>
    <mergeCell ref="A182:B182"/>
    <mergeCell ref="A166:A170"/>
    <mergeCell ref="C166:C170"/>
    <mergeCell ref="A171:A172"/>
    <mergeCell ref="A173:A177"/>
    <mergeCell ref="C173:C177"/>
    <mergeCell ref="AG154:AK154"/>
    <mergeCell ref="AG147:AK148"/>
    <mergeCell ref="AF1:AK1"/>
    <mergeCell ref="AG135:AK135"/>
    <mergeCell ref="AG136:AK136"/>
    <mergeCell ref="AG137:AK137"/>
    <mergeCell ref="AG138:AK138"/>
    <mergeCell ref="AF139:AK143"/>
    <mergeCell ref="AG144:AK146"/>
    <mergeCell ref="AF149:AK149"/>
    <mergeCell ref="AG150:AK150"/>
    <mergeCell ref="AG151:AK151"/>
    <mergeCell ref="AG152:AK152"/>
    <mergeCell ref="AG153:AK153"/>
  </mergeCells>
  <dataValidations count="17">
    <dataValidation type="list" allowBlank="1" showInputMessage="1" showErrorMessage="1" sqref="O11:O161" xr:uid="{61DB4CEE-259B-4CE4-AA9A-618341637EC9}">
      <formula1>$AF$10:$AF$76</formula1>
    </dataValidation>
    <dataValidation type="list" allowBlank="1" showInputMessage="1" showErrorMessage="1" sqref="M11:M161" xr:uid="{37B1157F-1A30-4E98-9006-5A3A029E8EBD}">
      <formula1>$AE$10:$AE$18</formula1>
    </dataValidation>
    <dataValidation type="list" allowBlank="1" showInputMessage="1" showErrorMessage="1" sqref="J11:L352 Q162:Q187 R162:R231 Q189:Q233 S162:S229 T162:T230 Q11:T161" xr:uid="{DBC6D190-CB79-49EB-A9CC-9E044DAC0672}">
      <formula1>$W$135:$W$136</formula1>
    </dataValidation>
    <dataValidation type="whole" allowBlank="1" showInputMessage="1" showErrorMessage="1" sqref="B4" xr:uid="{E55DACCA-F846-4373-897F-2977A233A6A9}">
      <formula1>148</formula1>
      <formula2>148</formula2>
    </dataValidation>
    <dataValidation type="whole" allowBlank="1" showInputMessage="1" showErrorMessage="1" sqref="B7" xr:uid="{995373E0-887D-449A-8E49-433C9C7CD2ED}">
      <formula1>300</formula1>
      <formula2>300</formula2>
    </dataValidation>
    <dataValidation type="custom" allowBlank="1" showInputMessage="1" showErrorMessage="1" sqref="C166:C170" xr:uid="{BAF9FDEE-4300-4900-9E3B-789F0A51BA90}">
      <formula1>IF(U162&gt;=20, 20, IF(U162&gt;=10, 10, IF(U162&gt;=5, 5, IF(U162&gt;=1, 1, 0))))</formula1>
    </dataValidation>
    <dataValidation type="custom" allowBlank="1" showInputMessage="1" showErrorMessage="1" sqref="C171" xr:uid="{CCBA8FE6-2162-4206-8C8F-7A14EA2A629F}">
      <formula1>IF(V162&gt;=20, 20, V162)</formula1>
    </dataValidation>
    <dataValidation type="custom" allowBlank="1" showInputMessage="1" showErrorMessage="1" sqref="C172" xr:uid="{C2EDAC14-C4BE-4045-B788-8E9B3FA7D57E}">
      <formula1>IF(GG92&gt;=8, 8, GG92)</formula1>
    </dataValidation>
    <dataValidation type="custom" allowBlank="1" showInputMessage="1" showErrorMessage="1" sqref="C173:C177" xr:uid="{BD1738AB-7522-4463-B131-6560C9C5C229}">
      <formula1>IF(GG78&gt;=1, 20, IF(GG78&gt;=0.5, 10, IF(GG78&gt;=0.25, 5, IF(GG78&gt;=0.01, 1, 0))))</formula1>
    </dataValidation>
    <dataValidation type="custom" allowBlank="1" showInputMessage="1" showErrorMessage="1" sqref="C178" xr:uid="{BDD0895F-F106-4043-9A5D-FC76B0122C22}">
      <formula1>IF(AA162&gt;=20, 20, AA162)</formula1>
    </dataValidation>
    <dataValidation type="custom" allowBlank="1" showInputMessage="1" showErrorMessage="1" sqref="C179" xr:uid="{3276607E-7986-4B08-AD48-205421A0BDB8}">
      <formula1>IF(X162&gt;=20, 20, X162)</formula1>
    </dataValidation>
    <dataValidation type="custom" allowBlank="1" showInputMessage="1" showErrorMessage="1" sqref="C180" xr:uid="{C3AF4A3D-7D9A-426C-A69F-BDE39E0C7676}">
      <formula1>IF(Y162&gt;=20, 20, Y162)</formula1>
    </dataValidation>
    <dataValidation type="custom" allowBlank="1" showInputMessage="1" showErrorMessage="1" sqref="C181" xr:uid="{450D0407-8BA7-4416-80F1-95AAF8FD4083}">
      <formula1>IF(Z162&gt;=20, 20, Z162)</formula1>
    </dataValidation>
    <dataValidation type="custom" allowBlank="1" showInputMessage="1" showErrorMessage="1" sqref="C182" xr:uid="{0C0E59AF-A5A2-49DC-996E-B3A8F2A2601C}">
      <formula1>SUM(C166:C181)</formula1>
    </dataValidation>
    <dataValidation type="custom" allowBlank="1" showInputMessage="1" showErrorMessage="1" sqref="B5" xr:uid="{A20E2D24-11DE-4139-BC86-A505D01F01B2}">
      <formula1>C182</formula1>
    </dataValidation>
    <dataValidation type="custom" allowBlank="1" showInputMessage="1" showErrorMessage="1" sqref="B8" xr:uid="{016E3E33-BC5E-4017-B303-ABE4CAA38DE7}">
      <formula1>B6*B7</formula1>
    </dataValidation>
    <dataValidation type="date" operator="greaterThan" allowBlank="1" showInputMessage="1" showErrorMessage="1" sqref="G11:G161" xr:uid="{0EAC0B4B-64AB-40F4-931B-EB14799061F0}">
      <formula1>1</formula1>
    </dataValidation>
  </dataValidations>
  <hyperlinks>
    <hyperlink ref="D3" location="'Community Partnerships'!A170" display="Click Here to Go to Scoring Table" xr:uid="{DCA4830A-F90E-447F-BB7A-4736AC2E3C13}"/>
    <hyperlink ref="C163" location="'Community Partnerships'!A11" display="Back to Top" xr:uid="{9FBDD99D-AF13-4DCB-80D6-D6984816A810}"/>
    <hyperlink ref="D1" location="'Respondent Information'!A1" display="Back to Respondent Information" xr:uid="{AD13BD3C-8F32-43A6-89F3-61D5D88CB80A}"/>
  </hyperlinks>
  <pageMargins left="0.7" right="0.7" top="0.75" bottom="0.75" header="0.3" footer="0.3"/>
  <pageSetup scale="16" orientation="landscape" r:id="rId1"/>
  <headerFooter>
    <oddHeader>&amp;C&amp;"Arial,Bold"&amp;14EXHIBIT A-5-a-V3
SUBMISSION REQUIREMENTS AND EVALUATION RESPONSE TEMPLATE</oddHeader>
    <oddFooter>&amp;C&amp;"Arial,Bold"AHCA ITN 010-22/23, Attachment A, Exhibit A-5-a-V3, Page &amp;P of &amp;N</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68300-D16C-4F47-9554-53B3345607FB}">
  <sheetPr codeName="Sheet38">
    <tabColor theme="7"/>
  </sheetPr>
  <dimension ref="A1:I4"/>
  <sheetViews>
    <sheetView zoomScaleNormal="100" workbookViewId="0"/>
  </sheetViews>
  <sheetFormatPr defaultRowHeight="15" x14ac:dyDescent="0.25"/>
  <cols>
    <col min="1" max="1" width="9.140625" customWidth="1"/>
    <col min="8" max="8" width="24.5703125" customWidth="1"/>
    <col min="9" max="9" width="47.28515625" customWidth="1"/>
  </cols>
  <sheetData>
    <row r="1" spans="1:9" ht="23.25" x14ac:dyDescent="0.35">
      <c r="A1" s="706" t="s">
        <v>758</v>
      </c>
      <c r="B1" s="706"/>
      <c r="C1" s="706"/>
      <c r="D1" s="706"/>
      <c r="E1" s="706"/>
      <c r="F1" s="706"/>
      <c r="G1" s="706"/>
      <c r="H1" s="706"/>
      <c r="I1" s="706"/>
    </row>
    <row r="2" spans="1:9" ht="23.25" x14ac:dyDescent="0.35">
      <c r="A2" s="706" t="s">
        <v>759</v>
      </c>
      <c r="B2" s="706"/>
      <c r="C2" s="706"/>
      <c r="D2" s="706"/>
      <c r="E2" s="706"/>
      <c r="F2" s="706"/>
      <c r="G2" s="706"/>
      <c r="H2" s="706"/>
      <c r="I2" s="706"/>
    </row>
    <row r="4" spans="1:9" x14ac:dyDescent="0.25">
      <c r="A4" s="1083" t="s">
        <v>82</v>
      </c>
      <c r="B4" s="1083"/>
      <c r="C4" s="1083"/>
      <c r="D4" s="1083"/>
    </row>
  </sheetData>
  <sheetProtection algorithmName="SHA-512" hashValue="0ALC5XE7NpwRuO8ilvrbGQK43b036R3dWzS4SXVXdnvQY95G95dGh8IIphxWcQwsLKtWT14XDOvAMu+8MwaNKQ==" saltValue="7EZjyeKc7h9lBFT9K2i42w==" spinCount="100000" sheet="1" objects="1" scenarios="1"/>
  <mergeCells count="1">
    <mergeCell ref="A4:D4"/>
  </mergeCells>
  <hyperlinks>
    <hyperlink ref="A4" location="'Respondent Information'!A1" display="Back to Respondent Information" xr:uid="{F521D5B7-EBB8-42F8-919A-98C4A284B2D9}"/>
  </hyperlinks>
  <pageMargins left="0.7" right="0.7" top="0.75" bottom="0.75" header="0.3" footer="0.3"/>
  <pageSetup orientation="portrait" r:id="rId1"/>
  <headerFooter>
    <oddHeader>&amp;C&amp;"Arial,Bold"&amp;14EXHIBIT A-5-a-V3
SUBMISSION REQUIREMENTS AND EVALUATION RESPONSE TEMPLATE</oddHeader>
    <oddFooter>&amp;C&amp;"Arial,Bold"AHCA ITN 010-22/23, Attachment A, Exhibit A-5-a-V3, Page &amp;P of &amp;N</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86A29-322D-46C6-AF6C-3A5EAFDA8A9B}">
  <sheetPr codeName="Sheet39">
    <tabColor rgb="FFFFC000"/>
    <pageSetUpPr fitToPage="1"/>
  </sheetPr>
  <dimension ref="A1:L82"/>
  <sheetViews>
    <sheetView zoomScaleNormal="100" workbookViewId="0">
      <pane ySplit="13" topLeftCell="A14" activePane="bottomLeft" state="frozen"/>
      <selection pane="bottomLeft"/>
    </sheetView>
  </sheetViews>
  <sheetFormatPr defaultRowHeight="15" x14ac:dyDescent="0.25"/>
  <cols>
    <col min="1" max="1" width="76.7109375" customWidth="1"/>
    <col min="2" max="2" width="51.42578125" customWidth="1"/>
    <col min="3" max="3" width="21" customWidth="1"/>
    <col min="4" max="5" width="21.85546875" customWidth="1"/>
    <col min="6" max="6" width="20" customWidth="1"/>
    <col min="7" max="7" width="18.28515625" customWidth="1"/>
    <col min="8" max="8" width="28.28515625" customWidth="1"/>
    <col min="9" max="9" width="12.7109375" style="113" customWidth="1"/>
    <col min="10" max="10" width="12.7109375" customWidth="1"/>
    <col min="11" max="11" width="12.7109375" hidden="1" customWidth="1"/>
    <col min="12" max="12" width="0" hidden="1" customWidth="1"/>
  </cols>
  <sheetData>
    <row r="1" spans="1:12" ht="23.25" x14ac:dyDescent="0.35">
      <c r="A1" s="569" t="s">
        <v>760</v>
      </c>
      <c r="B1" s="569"/>
      <c r="D1" s="1374" t="s">
        <v>82</v>
      </c>
      <c r="E1" s="1374"/>
      <c r="F1" s="1374"/>
    </row>
    <row r="2" spans="1:12" ht="28.5" x14ac:dyDescent="0.45">
      <c r="A2" s="14"/>
    </row>
    <row r="3" spans="1:12" x14ac:dyDescent="0.25">
      <c r="A3" s="570" t="s">
        <v>84</v>
      </c>
      <c r="B3" s="570" t="s">
        <v>85</v>
      </c>
    </row>
    <row r="4" spans="1:12" x14ac:dyDescent="0.25">
      <c r="A4" s="571" t="s">
        <v>87</v>
      </c>
      <c r="B4" s="572">
        <v>20</v>
      </c>
    </row>
    <row r="5" spans="1:12" x14ac:dyDescent="0.25">
      <c r="A5" s="571" t="s">
        <v>88</v>
      </c>
      <c r="B5" s="572">
        <f>C82</f>
        <v>0</v>
      </c>
      <c r="C5" s="17"/>
      <c r="D5" s="17"/>
      <c r="E5" s="17"/>
      <c r="F5" s="17"/>
      <c r="H5" s="17"/>
    </row>
    <row r="6" spans="1:12" x14ac:dyDescent="0.25">
      <c r="A6" s="573" t="s">
        <v>89</v>
      </c>
      <c r="B6" s="420">
        <f>B5/B4</f>
        <v>0</v>
      </c>
      <c r="C6" s="17"/>
      <c r="D6" s="17"/>
      <c r="E6" s="17"/>
      <c r="F6" s="17"/>
      <c r="H6" s="17"/>
    </row>
    <row r="7" spans="1:12" x14ac:dyDescent="0.25">
      <c r="A7" s="573" t="s">
        <v>135</v>
      </c>
      <c r="B7" s="574">
        <v>300</v>
      </c>
      <c r="C7" s="17"/>
      <c r="D7" s="17"/>
      <c r="E7" s="17"/>
      <c r="F7" s="17"/>
      <c r="H7" s="17"/>
    </row>
    <row r="8" spans="1:12" x14ac:dyDescent="0.25">
      <c r="A8" s="573" t="s">
        <v>761</v>
      </c>
      <c r="B8" s="421">
        <f>B6*B7</f>
        <v>0</v>
      </c>
      <c r="C8" s="17"/>
      <c r="D8" s="17"/>
      <c r="E8" s="17"/>
      <c r="F8" s="17"/>
      <c r="H8" s="17"/>
    </row>
    <row r="9" spans="1:12" ht="15.75" thickBot="1" x14ac:dyDescent="0.3">
      <c r="A9" s="41"/>
      <c r="B9" s="113"/>
      <c r="C9" s="17"/>
      <c r="D9" s="17"/>
      <c r="E9" s="17"/>
      <c r="F9" s="17"/>
      <c r="H9" s="17"/>
    </row>
    <row r="10" spans="1:12" ht="23.25" x14ac:dyDescent="0.35">
      <c r="A10" s="364"/>
      <c r="B10" s="1187" t="s">
        <v>8</v>
      </c>
      <c r="C10" s="1371"/>
    </row>
    <row r="11" spans="1:12" ht="15.75" thickBot="1" x14ac:dyDescent="0.3">
      <c r="A11" s="789" t="s">
        <v>137</v>
      </c>
      <c r="B11" s="1372" t="s">
        <v>66</v>
      </c>
      <c r="C11" s="1373"/>
    </row>
    <row r="12" spans="1:12" ht="33.75" customHeight="1" thickBot="1" x14ac:dyDescent="0.3">
      <c r="A12" s="1385" t="s">
        <v>1277</v>
      </c>
      <c r="B12" s="1386"/>
      <c r="C12" s="1386"/>
      <c r="D12" s="1386"/>
      <c r="E12" s="1386"/>
      <c r="F12" s="1386"/>
      <c r="G12" s="1386"/>
      <c r="H12" s="1386"/>
      <c r="I12" s="1387"/>
    </row>
    <row r="13" spans="1:12" ht="39" thickBot="1" x14ac:dyDescent="0.3">
      <c r="A13" s="790" t="s">
        <v>1211</v>
      </c>
      <c r="B13" s="791" t="s">
        <v>1212</v>
      </c>
      <c r="C13" s="791" t="s">
        <v>1213</v>
      </c>
      <c r="D13" s="1376" t="s">
        <v>1218</v>
      </c>
      <c r="E13" s="1376"/>
      <c r="F13" s="791" t="s">
        <v>1219</v>
      </c>
      <c r="G13" s="855" t="s">
        <v>1255</v>
      </c>
      <c r="H13" s="791" t="s">
        <v>1278</v>
      </c>
      <c r="I13" s="856" t="s">
        <v>1256</v>
      </c>
    </row>
    <row r="14" spans="1:12" x14ac:dyDescent="0.25">
      <c r="A14" s="1375" t="s">
        <v>762</v>
      </c>
      <c r="B14" s="1368"/>
      <c r="C14" s="1368"/>
      <c r="D14" s="787" t="s">
        <v>1214</v>
      </c>
      <c r="E14" s="780"/>
      <c r="F14" s="1368"/>
      <c r="G14" s="1368"/>
      <c r="H14" s="1377"/>
      <c r="I14" s="1379"/>
      <c r="K14" t="s">
        <v>26</v>
      </c>
    </row>
    <row r="15" spans="1:12" x14ac:dyDescent="0.25">
      <c r="A15" s="1366"/>
      <c r="B15" s="1367"/>
      <c r="C15" s="1367"/>
      <c r="D15" s="785" t="s">
        <v>1215</v>
      </c>
      <c r="E15" s="781"/>
      <c r="F15" s="1367"/>
      <c r="G15" s="1367"/>
      <c r="H15" s="1378"/>
      <c r="I15" s="1380"/>
      <c r="K15" t="s">
        <v>28</v>
      </c>
      <c r="L15">
        <f>IF(OR(E14="Yes", E15="Yes", E16="Yes", E17="Yes", E18="Yes"), 1, 0)</f>
        <v>0</v>
      </c>
    </row>
    <row r="16" spans="1:12" x14ac:dyDescent="0.25">
      <c r="A16" s="1366"/>
      <c r="B16" s="1367"/>
      <c r="C16" s="1367"/>
      <c r="D16" s="785" t="s">
        <v>234</v>
      </c>
      <c r="E16" s="781"/>
      <c r="F16" s="1367"/>
      <c r="G16" s="1367"/>
      <c r="H16" s="1378"/>
      <c r="I16" s="1380"/>
    </row>
    <row r="17" spans="1:12" x14ac:dyDescent="0.25">
      <c r="A17" s="1366"/>
      <c r="B17" s="1367"/>
      <c r="C17" s="1367"/>
      <c r="D17" s="785" t="s">
        <v>1216</v>
      </c>
      <c r="E17" s="781"/>
      <c r="F17" s="1367"/>
      <c r="G17" s="1367"/>
      <c r="H17" s="1378"/>
      <c r="I17" s="1380"/>
    </row>
    <row r="18" spans="1:12" x14ac:dyDescent="0.25">
      <c r="A18" s="1366"/>
      <c r="B18" s="1367"/>
      <c r="C18" s="1367"/>
      <c r="D18" s="788" t="s">
        <v>1217</v>
      </c>
      <c r="E18" s="781"/>
      <c r="F18" s="1367"/>
      <c r="G18" s="1367"/>
      <c r="H18" s="1378"/>
      <c r="I18" s="1380"/>
    </row>
    <row r="19" spans="1:12" x14ac:dyDescent="0.25">
      <c r="A19" s="1366" t="s">
        <v>762</v>
      </c>
      <c r="B19" s="1367"/>
      <c r="C19" s="1367"/>
      <c r="D19" s="785" t="s">
        <v>1214</v>
      </c>
      <c r="E19" s="781"/>
      <c r="F19" s="1367"/>
      <c r="G19" s="1367"/>
      <c r="H19" s="1367"/>
      <c r="I19" s="1380"/>
    </row>
    <row r="20" spans="1:12" x14ac:dyDescent="0.25">
      <c r="A20" s="1366"/>
      <c r="B20" s="1367"/>
      <c r="C20" s="1367"/>
      <c r="D20" s="785" t="s">
        <v>1215</v>
      </c>
      <c r="E20" s="781"/>
      <c r="F20" s="1367"/>
      <c r="G20" s="1367"/>
      <c r="H20" s="1367"/>
      <c r="I20" s="1380"/>
    </row>
    <row r="21" spans="1:12" x14ac:dyDescent="0.25">
      <c r="A21" s="1366"/>
      <c r="B21" s="1367"/>
      <c r="C21" s="1367"/>
      <c r="D21" s="785" t="s">
        <v>234</v>
      </c>
      <c r="E21" s="781"/>
      <c r="F21" s="1367"/>
      <c r="G21" s="1367"/>
      <c r="H21" s="1367"/>
      <c r="I21" s="1380"/>
    </row>
    <row r="22" spans="1:12" x14ac:dyDescent="0.25">
      <c r="A22" s="1366"/>
      <c r="B22" s="1367"/>
      <c r="C22" s="1367"/>
      <c r="D22" s="785" t="s">
        <v>1216</v>
      </c>
      <c r="E22" s="781"/>
      <c r="F22" s="1367"/>
      <c r="G22" s="1367"/>
      <c r="H22" s="1367"/>
      <c r="I22" s="1380"/>
    </row>
    <row r="23" spans="1:12" x14ac:dyDescent="0.25">
      <c r="A23" s="1366"/>
      <c r="B23" s="1367"/>
      <c r="C23" s="1367"/>
      <c r="D23" s="785" t="s">
        <v>1217</v>
      </c>
      <c r="E23" s="781"/>
      <c r="F23" s="1367"/>
      <c r="G23" s="1367"/>
      <c r="H23" s="1367"/>
      <c r="I23" s="1380"/>
    </row>
    <row r="24" spans="1:12" x14ac:dyDescent="0.25">
      <c r="A24" s="1366" t="s">
        <v>762</v>
      </c>
      <c r="B24" s="1367"/>
      <c r="C24" s="1367"/>
      <c r="D24" s="784" t="s">
        <v>1214</v>
      </c>
      <c r="E24" s="781"/>
      <c r="F24" s="1367"/>
      <c r="G24" s="1367"/>
      <c r="H24" s="1367"/>
      <c r="I24" s="1380"/>
    </row>
    <row r="25" spans="1:12" x14ac:dyDescent="0.25">
      <c r="A25" s="1366"/>
      <c r="B25" s="1367"/>
      <c r="C25" s="1367"/>
      <c r="D25" s="785" t="s">
        <v>1215</v>
      </c>
      <c r="E25" s="781"/>
      <c r="F25" s="1367"/>
      <c r="G25" s="1367"/>
      <c r="H25" s="1367"/>
      <c r="I25" s="1380"/>
    </row>
    <row r="26" spans="1:12" x14ac:dyDescent="0.25">
      <c r="A26" s="1366"/>
      <c r="B26" s="1367"/>
      <c r="C26" s="1367"/>
      <c r="D26" s="785" t="s">
        <v>234</v>
      </c>
      <c r="E26" s="781"/>
      <c r="F26" s="1367"/>
      <c r="G26" s="1367"/>
      <c r="H26" s="1367"/>
      <c r="I26" s="1380"/>
    </row>
    <row r="27" spans="1:12" x14ac:dyDescent="0.25">
      <c r="A27" s="1366"/>
      <c r="B27" s="1367"/>
      <c r="C27" s="1367"/>
      <c r="D27" s="785" t="s">
        <v>1216</v>
      </c>
      <c r="E27" s="781"/>
      <c r="F27" s="1367"/>
      <c r="G27" s="1367"/>
      <c r="H27" s="1367"/>
      <c r="I27" s="1380"/>
    </row>
    <row r="28" spans="1:12" ht="15.75" thickBot="1" x14ac:dyDescent="0.3">
      <c r="A28" s="1369"/>
      <c r="B28" s="1370"/>
      <c r="C28" s="1370"/>
      <c r="D28" s="785" t="s">
        <v>1217</v>
      </c>
      <c r="E28" s="783"/>
      <c r="F28" s="1370"/>
      <c r="G28" s="1370"/>
      <c r="H28" s="1370"/>
      <c r="I28" s="1381"/>
    </row>
    <row r="29" spans="1:12" x14ac:dyDescent="0.25">
      <c r="A29" s="1375" t="s">
        <v>763</v>
      </c>
      <c r="B29" s="1368"/>
      <c r="C29" s="1368"/>
      <c r="D29" s="787" t="s">
        <v>1214</v>
      </c>
      <c r="E29" s="780"/>
      <c r="F29" s="1368"/>
      <c r="G29" s="1368"/>
      <c r="H29" s="1368"/>
      <c r="I29" s="1379"/>
    </row>
    <row r="30" spans="1:12" x14ac:dyDescent="0.25">
      <c r="A30" s="1366"/>
      <c r="B30" s="1367"/>
      <c r="C30" s="1367"/>
      <c r="D30" s="785" t="s">
        <v>1215</v>
      </c>
      <c r="E30" s="781"/>
      <c r="F30" s="1367"/>
      <c r="G30" s="1367"/>
      <c r="H30" s="1367"/>
      <c r="I30" s="1380"/>
      <c r="L30">
        <f>IF(OR(E29="Yes", E30="Yes", E31="Yes", E32="Yes", E33="Yes"), 1, 0)</f>
        <v>0</v>
      </c>
    </row>
    <row r="31" spans="1:12" x14ac:dyDescent="0.25">
      <c r="A31" s="1366"/>
      <c r="B31" s="1367"/>
      <c r="C31" s="1367"/>
      <c r="D31" s="785" t="s">
        <v>234</v>
      </c>
      <c r="E31" s="781"/>
      <c r="F31" s="1367"/>
      <c r="G31" s="1367"/>
      <c r="H31" s="1367"/>
      <c r="I31" s="1380"/>
    </row>
    <row r="32" spans="1:12" x14ac:dyDescent="0.25">
      <c r="A32" s="1366"/>
      <c r="B32" s="1367"/>
      <c r="C32" s="1367"/>
      <c r="D32" s="785" t="s">
        <v>1216</v>
      </c>
      <c r="E32" s="781"/>
      <c r="F32" s="1367"/>
      <c r="G32" s="1367"/>
      <c r="H32" s="1367"/>
      <c r="I32" s="1380"/>
    </row>
    <row r="33" spans="1:12" x14ac:dyDescent="0.25">
      <c r="A33" s="1366"/>
      <c r="B33" s="1367"/>
      <c r="C33" s="1367"/>
      <c r="D33" s="785" t="s">
        <v>1217</v>
      </c>
      <c r="E33" s="781"/>
      <c r="F33" s="1367"/>
      <c r="G33" s="1367"/>
      <c r="H33" s="1367"/>
      <c r="I33" s="1380"/>
    </row>
    <row r="34" spans="1:12" x14ac:dyDescent="0.25">
      <c r="A34" s="1366" t="s">
        <v>763</v>
      </c>
      <c r="B34" s="1367"/>
      <c r="C34" s="1367"/>
      <c r="D34" s="785" t="s">
        <v>1214</v>
      </c>
      <c r="E34" s="781"/>
      <c r="F34" s="1367"/>
      <c r="G34" s="1367"/>
      <c r="H34" s="1367"/>
      <c r="I34" s="1380"/>
    </row>
    <row r="35" spans="1:12" x14ac:dyDescent="0.25">
      <c r="A35" s="1366"/>
      <c r="B35" s="1367"/>
      <c r="C35" s="1367"/>
      <c r="D35" s="785" t="s">
        <v>1215</v>
      </c>
      <c r="E35" s="781"/>
      <c r="F35" s="1367"/>
      <c r="G35" s="1367"/>
      <c r="H35" s="1367"/>
      <c r="I35" s="1380"/>
    </row>
    <row r="36" spans="1:12" x14ac:dyDescent="0.25">
      <c r="A36" s="1366"/>
      <c r="B36" s="1367"/>
      <c r="C36" s="1367"/>
      <c r="D36" s="785" t="s">
        <v>234</v>
      </c>
      <c r="E36" s="781"/>
      <c r="F36" s="1367"/>
      <c r="G36" s="1367"/>
      <c r="H36" s="1367"/>
      <c r="I36" s="1380"/>
    </row>
    <row r="37" spans="1:12" x14ac:dyDescent="0.25">
      <c r="A37" s="1366"/>
      <c r="B37" s="1367"/>
      <c r="C37" s="1367"/>
      <c r="D37" s="785" t="s">
        <v>1216</v>
      </c>
      <c r="E37" s="781"/>
      <c r="F37" s="1367"/>
      <c r="G37" s="1367"/>
      <c r="H37" s="1367"/>
      <c r="I37" s="1380"/>
    </row>
    <row r="38" spans="1:12" x14ac:dyDescent="0.25">
      <c r="A38" s="1366"/>
      <c r="B38" s="1367"/>
      <c r="C38" s="1367"/>
      <c r="D38" s="785" t="s">
        <v>1217</v>
      </c>
      <c r="E38" s="781"/>
      <c r="F38" s="1367"/>
      <c r="G38" s="1367"/>
      <c r="H38" s="1367"/>
      <c r="I38" s="1380"/>
    </row>
    <row r="39" spans="1:12" x14ac:dyDescent="0.25">
      <c r="A39" s="1366" t="s">
        <v>763</v>
      </c>
      <c r="B39" s="1367"/>
      <c r="C39" s="1367"/>
      <c r="D39" s="785" t="s">
        <v>1214</v>
      </c>
      <c r="E39" s="781"/>
      <c r="F39" s="1367"/>
      <c r="G39" s="1367"/>
      <c r="H39" s="1367"/>
      <c r="I39" s="1380"/>
    </row>
    <row r="40" spans="1:12" x14ac:dyDescent="0.25">
      <c r="A40" s="1366"/>
      <c r="B40" s="1367"/>
      <c r="C40" s="1367"/>
      <c r="D40" s="785" t="s">
        <v>1215</v>
      </c>
      <c r="E40" s="781"/>
      <c r="F40" s="1367"/>
      <c r="G40" s="1367"/>
      <c r="H40" s="1367"/>
      <c r="I40" s="1380"/>
    </row>
    <row r="41" spans="1:12" x14ac:dyDescent="0.25">
      <c r="A41" s="1366"/>
      <c r="B41" s="1367"/>
      <c r="C41" s="1367"/>
      <c r="D41" s="785" t="s">
        <v>234</v>
      </c>
      <c r="E41" s="781"/>
      <c r="F41" s="1367"/>
      <c r="G41" s="1367"/>
      <c r="H41" s="1367"/>
      <c r="I41" s="1380"/>
    </row>
    <row r="42" spans="1:12" x14ac:dyDescent="0.25">
      <c r="A42" s="1366"/>
      <c r="B42" s="1367"/>
      <c r="C42" s="1367"/>
      <c r="D42" s="785" t="s">
        <v>1216</v>
      </c>
      <c r="E42" s="781"/>
      <c r="F42" s="1367"/>
      <c r="G42" s="1367"/>
      <c r="H42" s="1367"/>
      <c r="I42" s="1380"/>
    </row>
    <row r="43" spans="1:12" ht="15.75" thickBot="1" x14ac:dyDescent="0.3">
      <c r="A43" s="1369"/>
      <c r="B43" s="1370"/>
      <c r="C43" s="1370"/>
      <c r="D43" s="788" t="s">
        <v>1217</v>
      </c>
      <c r="E43" s="783"/>
      <c r="F43" s="1370"/>
      <c r="G43" s="1370"/>
      <c r="H43" s="1370"/>
      <c r="I43" s="1381"/>
    </row>
    <row r="44" spans="1:12" x14ac:dyDescent="0.25">
      <c r="A44" s="1375" t="s">
        <v>764</v>
      </c>
      <c r="B44" s="1368"/>
      <c r="C44" s="1368"/>
      <c r="D44" s="787" t="s">
        <v>1214</v>
      </c>
      <c r="E44" s="780"/>
      <c r="F44" s="1368"/>
      <c r="G44" s="1368"/>
      <c r="H44" s="1368"/>
      <c r="I44" s="1379"/>
    </row>
    <row r="45" spans="1:12" x14ac:dyDescent="0.25">
      <c r="A45" s="1366"/>
      <c r="B45" s="1367"/>
      <c r="C45" s="1367"/>
      <c r="D45" s="785" t="s">
        <v>1215</v>
      </c>
      <c r="E45" s="781"/>
      <c r="F45" s="1367"/>
      <c r="G45" s="1367"/>
      <c r="H45" s="1367"/>
      <c r="I45" s="1380"/>
      <c r="L45">
        <f>IF(OR(E44="Yes", E45="Yes", E46="Yes", E47="Yes", E48="Yes"), 1, 0)</f>
        <v>0</v>
      </c>
    </row>
    <row r="46" spans="1:12" x14ac:dyDescent="0.25">
      <c r="A46" s="1366"/>
      <c r="B46" s="1367"/>
      <c r="C46" s="1367"/>
      <c r="D46" s="785" t="s">
        <v>234</v>
      </c>
      <c r="E46" s="781"/>
      <c r="F46" s="1367"/>
      <c r="G46" s="1367"/>
      <c r="H46" s="1367"/>
      <c r="I46" s="1380"/>
    </row>
    <row r="47" spans="1:12" x14ac:dyDescent="0.25">
      <c r="A47" s="1366"/>
      <c r="B47" s="1367"/>
      <c r="C47" s="1367"/>
      <c r="D47" s="785" t="s">
        <v>1216</v>
      </c>
      <c r="E47" s="781"/>
      <c r="F47" s="1367"/>
      <c r="G47" s="1367"/>
      <c r="H47" s="1367"/>
      <c r="I47" s="1380"/>
    </row>
    <row r="48" spans="1:12" x14ac:dyDescent="0.25">
      <c r="A48" s="1366"/>
      <c r="B48" s="1367"/>
      <c r="C48" s="1367"/>
      <c r="D48" s="785" t="s">
        <v>1217</v>
      </c>
      <c r="E48" s="781"/>
      <c r="F48" s="1367"/>
      <c r="G48" s="1367"/>
      <c r="H48" s="1367"/>
      <c r="I48" s="1380"/>
    </row>
    <row r="49" spans="1:12" x14ac:dyDescent="0.25">
      <c r="A49" s="1366" t="s">
        <v>764</v>
      </c>
      <c r="B49" s="1367"/>
      <c r="C49" s="1367"/>
      <c r="D49" s="785" t="s">
        <v>1214</v>
      </c>
      <c r="E49" s="781"/>
      <c r="F49" s="1367"/>
      <c r="G49" s="1367"/>
      <c r="H49" s="1367"/>
      <c r="I49" s="1380"/>
    </row>
    <row r="50" spans="1:12" x14ac:dyDescent="0.25">
      <c r="A50" s="1366"/>
      <c r="B50" s="1367"/>
      <c r="C50" s="1367"/>
      <c r="D50" s="785" t="s">
        <v>1215</v>
      </c>
      <c r="E50" s="781"/>
      <c r="F50" s="1367"/>
      <c r="G50" s="1367"/>
      <c r="H50" s="1367"/>
      <c r="I50" s="1380"/>
    </row>
    <row r="51" spans="1:12" x14ac:dyDescent="0.25">
      <c r="A51" s="1366"/>
      <c r="B51" s="1367"/>
      <c r="C51" s="1367"/>
      <c r="D51" s="785" t="s">
        <v>234</v>
      </c>
      <c r="E51" s="781"/>
      <c r="F51" s="1367"/>
      <c r="G51" s="1367"/>
      <c r="H51" s="1367"/>
      <c r="I51" s="1380"/>
    </row>
    <row r="52" spans="1:12" x14ac:dyDescent="0.25">
      <c r="A52" s="1366"/>
      <c r="B52" s="1367"/>
      <c r="C52" s="1367"/>
      <c r="D52" s="785" t="s">
        <v>1216</v>
      </c>
      <c r="E52" s="781"/>
      <c r="F52" s="1367"/>
      <c r="G52" s="1367"/>
      <c r="H52" s="1367"/>
      <c r="I52" s="1380"/>
    </row>
    <row r="53" spans="1:12" x14ac:dyDescent="0.25">
      <c r="A53" s="1366"/>
      <c r="B53" s="1367"/>
      <c r="C53" s="1367"/>
      <c r="D53" s="785" t="s">
        <v>1217</v>
      </c>
      <c r="E53" s="781"/>
      <c r="F53" s="1367"/>
      <c r="G53" s="1367"/>
      <c r="H53" s="1367"/>
      <c r="I53" s="1380"/>
    </row>
    <row r="54" spans="1:12" ht="15" customHeight="1" x14ac:dyDescent="0.25">
      <c r="A54" s="1366" t="s">
        <v>764</v>
      </c>
      <c r="B54" s="1367"/>
      <c r="C54" s="1367"/>
      <c r="D54" s="785" t="s">
        <v>1214</v>
      </c>
      <c r="E54" s="781"/>
      <c r="F54" s="1367"/>
      <c r="G54" s="1367"/>
      <c r="H54" s="1367"/>
      <c r="I54" s="1380"/>
    </row>
    <row r="55" spans="1:12" ht="15" customHeight="1" x14ac:dyDescent="0.25">
      <c r="A55" s="1366"/>
      <c r="B55" s="1367"/>
      <c r="C55" s="1367"/>
      <c r="D55" s="785" t="s">
        <v>1215</v>
      </c>
      <c r="E55" s="781"/>
      <c r="F55" s="1367"/>
      <c r="G55" s="1367"/>
      <c r="H55" s="1367"/>
      <c r="I55" s="1380"/>
    </row>
    <row r="56" spans="1:12" ht="15" customHeight="1" x14ac:dyDescent="0.25">
      <c r="A56" s="1366"/>
      <c r="B56" s="1367"/>
      <c r="C56" s="1367"/>
      <c r="D56" s="785" t="s">
        <v>234</v>
      </c>
      <c r="E56" s="781"/>
      <c r="F56" s="1367"/>
      <c r="G56" s="1367"/>
      <c r="H56" s="1367"/>
      <c r="I56" s="1380"/>
    </row>
    <row r="57" spans="1:12" ht="15" customHeight="1" x14ac:dyDescent="0.25">
      <c r="A57" s="1366"/>
      <c r="B57" s="1367"/>
      <c r="C57" s="1367"/>
      <c r="D57" s="785" t="s">
        <v>1216</v>
      </c>
      <c r="E57" s="781"/>
      <c r="F57" s="1367"/>
      <c r="G57" s="1367"/>
      <c r="H57" s="1367"/>
      <c r="I57" s="1380"/>
    </row>
    <row r="58" spans="1:12" ht="15" customHeight="1" thickBot="1" x14ac:dyDescent="0.3">
      <c r="A58" s="1369"/>
      <c r="B58" s="1370"/>
      <c r="C58" s="1370"/>
      <c r="D58" s="788" t="s">
        <v>1217</v>
      </c>
      <c r="E58" s="783"/>
      <c r="F58" s="1370"/>
      <c r="G58" s="1370"/>
      <c r="H58" s="1370"/>
      <c r="I58" s="1381"/>
    </row>
    <row r="59" spans="1:12" ht="15" customHeight="1" x14ac:dyDescent="0.25">
      <c r="A59" s="1375" t="s">
        <v>765</v>
      </c>
      <c r="B59" s="1368"/>
      <c r="C59" s="1368"/>
      <c r="D59" s="787" t="s">
        <v>1214</v>
      </c>
      <c r="E59" s="780"/>
      <c r="F59" s="1368"/>
      <c r="G59" s="1368"/>
      <c r="H59" s="1368"/>
      <c r="I59" s="1379"/>
    </row>
    <row r="60" spans="1:12" ht="15" customHeight="1" x14ac:dyDescent="0.25">
      <c r="A60" s="1366"/>
      <c r="B60" s="1367"/>
      <c r="C60" s="1367"/>
      <c r="D60" s="785" t="s">
        <v>1215</v>
      </c>
      <c r="E60" s="781"/>
      <c r="F60" s="1367"/>
      <c r="G60" s="1367"/>
      <c r="H60" s="1367"/>
      <c r="I60" s="1380"/>
      <c r="L60">
        <f>IF(OR(E59="Yes", E60="Yes", E61="Yes", E62="Yes", E63="Yes"), 1, 0)</f>
        <v>0</v>
      </c>
    </row>
    <row r="61" spans="1:12" ht="15" customHeight="1" x14ac:dyDescent="0.25">
      <c r="A61" s="1366"/>
      <c r="B61" s="1367"/>
      <c r="C61" s="1367"/>
      <c r="D61" s="785" t="s">
        <v>234</v>
      </c>
      <c r="E61" s="781"/>
      <c r="F61" s="1367"/>
      <c r="G61" s="1367"/>
      <c r="H61" s="1367"/>
      <c r="I61" s="1380"/>
    </row>
    <row r="62" spans="1:12" ht="15" customHeight="1" x14ac:dyDescent="0.25">
      <c r="A62" s="1366"/>
      <c r="B62" s="1367"/>
      <c r="C62" s="1367"/>
      <c r="D62" s="785" t="s">
        <v>1216</v>
      </c>
      <c r="E62" s="781"/>
      <c r="F62" s="1367"/>
      <c r="G62" s="1367"/>
      <c r="H62" s="1367"/>
      <c r="I62" s="1380"/>
    </row>
    <row r="63" spans="1:12" ht="15" customHeight="1" x14ac:dyDescent="0.25">
      <c r="A63" s="1366"/>
      <c r="B63" s="1367"/>
      <c r="C63" s="1367"/>
      <c r="D63" s="785" t="s">
        <v>1217</v>
      </c>
      <c r="E63" s="781"/>
      <c r="F63" s="1367"/>
      <c r="G63" s="1367"/>
      <c r="H63" s="1367"/>
      <c r="I63" s="1380"/>
    </row>
    <row r="64" spans="1:12" ht="15" customHeight="1" x14ac:dyDescent="0.25">
      <c r="A64" s="1366" t="s">
        <v>765</v>
      </c>
      <c r="B64" s="1367"/>
      <c r="C64" s="1367"/>
      <c r="D64" s="785" t="s">
        <v>1214</v>
      </c>
      <c r="E64" s="781"/>
      <c r="F64" s="1367"/>
      <c r="G64" s="1367"/>
      <c r="H64" s="1367"/>
      <c r="I64" s="1380"/>
    </row>
    <row r="65" spans="1:9" ht="15" customHeight="1" x14ac:dyDescent="0.25">
      <c r="A65" s="1366"/>
      <c r="B65" s="1367"/>
      <c r="C65" s="1367"/>
      <c r="D65" s="785" t="s">
        <v>1215</v>
      </c>
      <c r="E65" s="781"/>
      <c r="F65" s="1367"/>
      <c r="G65" s="1367"/>
      <c r="H65" s="1367"/>
      <c r="I65" s="1380"/>
    </row>
    <row r="66" spans="1:9" ht="15" customHeight="1" x14ac:dyDescent="0.25">
      <c r="A66" s="1366"/>
      <c r="B66" s="1367"/>
      <c r="C66" s="1367"/>
      <c r="D66" s="785" t="s">
        <v>234</v>
      </c>
      <c r="E66" s="781"/>
      <c r="F66" s="1367"/>
      <c r="G66" s="1367"/>
      <c r="H66" s="1367"/>
      <c r="I66" s="1380"/>
    </row>
    <row r="67" spans="1:9" ht="15" customHeight="1" x14ac:dyDescent="0.25">
      <c r="A67" s="1366"/>
      <c r="B67" s="1367"/>
      <c r="C67" s="1367"/>
      <c r="D67" s="785" t="s">
        <v>1216</v>
      </c>
      <c r="E67" s="781"/>
      <c r="F67" s="1367"/>
      <c r="G67" s="1367"/>
      <c r="H67" s="1367"/>
      <c r="I67" s="1380"/>
    </row>
    <row r="68" spans="1:9" ht="15" customHeight="1" x14ac:dyDescent="0.25">
      <c r="A68" s="1366"/>
      <c r="B68" s="1367"/>
      <c r="C68" s="1367"/>
      <c r="D68" s="785" t="s">
        <v>1217</v>
      </c>
      <c r="E68" s="781"/>
      <c r="F68" s="1367"/>
      <c r="G68" s="1367"/>
      <c r="H68" s="1367"/>
      <c r="I68" s="1380"/>
    </row>
    <row r="69" spans="1:9" ht="15.75" customHeight="1" x14ac:dyDescent="0.25">
      <c r="A69" s="1366" t="s">
        <v>765</v>
      </c>
      <c r="B69" s="1367"/>
      <c r="C69" s="1367"/>
      <c r="D69" s="785" t="s">
        <v>1214</v>
      </c>
      <c r="E69" s="781"/>
      <c r="F69" s="1367"/>
      <c r="G69" s="1367"/>
      <c r="H69" s="1367"/>
      <c r="I69" s="1380"/>
    </row>
    <row r="70" spans="1:9" x14ac:dyDescent="0.25">
      <c r="A70" s="1366"/>
      <c r="B70" s="1367"/>
      <c r="C70" s="1367"/>
      <c r="D70" s="785" t="s">
        <v>1215</v>
      </c>
      <c r="E70" s="781"/>
      <c r="F70" s="1367"/>
      <c r="G70" s="1367"/>
      <c r="H70" s="1367"/>
      <c r="I70" s="1380"/>
    </row>
    <row r="71" spans="1:9" x14ac:dyDescent="0.25">
      <c r="A71" s="1366"/>
      <c r="B71" s="1367"/>
      <c r="C71" s="1367"/>
      <c r="D71" s="785" t="s">
        <v>234</v>
      </c>
      <c r="E71" s="781"/>
      <c r="F71" s="1367"/>
      <c r="G71" s="1367"/>
      <c r="H71" s="1367"/>
      <c r="I71" s="1380"/>
    </row>
    <row r="72" spans="1:9" x14ac:dyDescent="0.25">
      <c r="A72" s="1366"/>
      <c r="B72" s="1367"/>
      <c r="C72" s="1367"/>
      <c r="D72" s="785" t="s">
        <v>1216</v>
      </c>
      <c r="E72" s="781"/>
      <c r="F72" s="1367"/>
      <c r="G72" s="1367"/>
      <c r="H72" s="1367"/>
      <c r="I72" s="1380"/>
    </row>
    <row r="73" spans="1:9" ht="15.75" thickBot="1" x14ac:dyDescent="0.3">
      <c r="A73" s="1382"/>
      <c r="B73" s="1383"/>
      <c r="C73" s="1383"/>
      <c r="D73" s="786" t="s">
        <v>1217</v>
      </c>
      <c r="E73" s="782"/>
      <c r="F73" s="1383"/>
      <c r="G73" s="1383"/>
      <c r="H73" s="1383"/>
      <c r="I73" s="1384"/>
    </row>
    <row r="75" spans="1:9" ht="21" x14ac:dyDescent="0.35">
      <c r="A75" s="297" t="s">
        <v>117</v>
      </c>
    </row>
    <row r="76" spans="1:9" ht="15.75" thickBot="1" x14ac:dyDescent="0.3"/>
    <row r="77" spans="1:9" x14ac:dyDescent="0.25">
      <c r="A77" s="157" t="s">
        <v>148</v>
      </c>
      <c r="B77" s="147" t="s">
        <v>149</v>
      </c>
      <c r="C77" s="148" t="s">
        <v>34</v>
      </c>
    </row>
    <row r="78" spans="1:9" x14ac:dyDescent="0.25">
      <c r="A78" s="591" t="s">
        <v>762</v>
      </c>
      <c r="B78" s="702">
        <v>5</v>
      </c>
      <c r="C78" s="26">
        <f>IF(AND(NOT(ISBLANK(B14)), NOT(ISBLANK(C14)), L15&gt;0, NOT(ISBLANK(F14)), NOT(ISBLANK(G14)), NOT(ISBLANK(H14)), NOT(ISBLANK(I14))), 5, 0)</f>
        <v>0</v>
      </c>
    </row>
    <row r="79" spans="1:9" x14ac:dyDescent="0.25">
      <c r="A79" s="710" t="s">
        <v>763</v>
      </c>
      <c r="B79" s="702">
        <v>5</v>
      </c>
      <c r="C79" s="26">
        <f>IF(AND(NOT(ISBLANK(B29)), NOT(ISBLANK(C29)), L30&gt;0, NOT(ISBLANK(F29)), NOT(ISBLANK(G29)), NOT(ISBLANK(H29)), NOT(ISBLANK(I29))), 5, 0)</f>
        <v>0</v>
      </c>
    </row>
    <row r="80" spans="1:9" x14ac:dyDescent="0.25">
      <c r="A80" s="710" t="s">
        <v>764</v>
      </c>
      <c r="B80" s="702">
        <v>5</v>
      </c>
      <c r="C80" s="26">
        <f>IF(AND(NOT(ISBLANK(B44)), NOT(ISBLANK(C44)), L45&gt;0, NOT(ISBLANK(F44)), NOT(ISBLANK(G44)), NOT(ISBLANK(H44)), NOT(ISBLANK(I44))), 5, 0)</f>
        <v>0</v>
      </c>
    </row>
    <row r="81" spans="1:3" ht="15.75" thickBot="1" x14ac:dyDescent="0.3">
      <c r="A81" s="710" t="s">
        <v>765</v>
      </c>
      <c r="B81" s="196">
        <v>5</v>
      </c>
      <c r="C81" s="26">
        <f>IF(AND(NOT(ISBLANK(B59)), NOT(ISBLANK(C59)), L60&gt;0, NOT(ISBLANK(F59)), NOT(ISBLANK(G59)), NOT(ISBLANK(H59)), NOT(ISBLANK(I59))), 5, 0)</f>
        <v>0</v>
      </c>
    </row>
    <row r="82" spans="1:3" ht="15.75" thickBot="1" x14ac:dyDescent="0.3">
      <c r="A82" s="1337" t="s">
        <v>88</v>
      </c>
      <c r="B82" s="1309"/>
      <c r="C82" s="133">
        <f>SUM(C78:C81)</f>
        <v>0</v>
      </c>
    </row>
  </sheetData>
  <sheetProtection algorithmName="SHA-512" hashValue="oVUFVhDWAiaz45U0B3CNKQvKqbRMg4UbSF9OqFkwLErHiUs9ki6TZl6vZ9Fueqyt490v9CiuBRrwwaeChh4mrQ==" saltValue="xIqZc53z1b1Th1g7GlQVag==" spinCount="100000" sheet="1" objects="1" scenarios="1"/>
  <protectedRanges>
    <protectedRange sqref="B14:C73 E14:I73" name="Range1"/>
  </protectedRanges>
  <mergeCells count="90">
    <mergeCell ref="I59:I63"/>
    <mergeCell ref="I64:I68"/>
    <mergeCell ref="I69:I73"/>
    <mergeCell ref="A12:I12"/>
    <mergeCell ref="A82:B82"/>
    <mergeCell ref="G59:G63"/>
    <mergeCell ref="G64:G68"/>
    <mergeCell ref="G69:G73"/>
    <mergeCell ref="H44:H48"/>
    <mergeCell ref="H49:H53"/>
    <mergeCell ref="H54:H58"/>
    <mergeCell ref="H59:H63"/>
    <mergeCell ref="H64:H68"/>
    <mergeCell ref="H69:H73"/>
    <mergeCell ref="C59:C63"/>
    <mergeCell ref="C64:C68"/>
    <mergeCell ref="C69:C73"/>
    <mergeCell ref="F44:F48"/>
    <mergeCell ref="F49:F53"/>
    <mergeCell ref="F54:F58"/>
    <mergeCell ref="F59:F63"/>
    <mergeCell ref="F64:F68"/>
    <mergeCell ref="F69:F73"/>
    <mergeCell ref="C44:C48"/>
    <mergeCell ref="C49:C53"/>
    <mergeCell ref="C54:C58"/>
    <mergeCell ref="A39:A43"/>
    <mergeCell ref="B39:B43"/>
    <mergeCell ref="A59:A63"/>
    <mergeCell ref="A64:A68"/>
    <mergeCell ref="A69:A73"/>
    <mergeCell ref="B44:B48"/>
    <mergeCell ref="B49:B53"/>
    <mergeCell ref="B54:B58"/>
    <mergeCell ref="B59:B63"/>
    <mergeCell ref="B64:B68"/>
    <mergeCell ref="B69:B73"/>
    <mergeCell ref="A44:A48"/>
    <mergeCell ref="A49:A53"/>
    <mergeCell ref="A54:A58"/>
    <mergeCell ref="G44:G48"/>
    <mergeCell ref="G49:G53"/>
    <mergeCell ref="G54:G58"/>
    <mergeCell ref="I44:I48"/>
    <mergeCell ref="I49:I53"/>
    <mergeCell ref="I54:I58"/>
    <mergeCell ref="C39:C43"/>
    <mergeCell ref="F39:F43"/>
    <mergeCell ref="G39:G43"/>
    <mergeCell ref="H29:H33"/>
    <mergeCell ref="I29:I33"/>
    <mergeCell ref="H34:H38"/>
    <mergeCell ref="I34:I38"/>
    <mergeCell ref="H39:H43"/>
    <mergeCell ref="I39:I43"/>
    <mergeCell ref="A34:A38"/>
    <mergeCell ref="B34:B38"/>
    <mergeCell ref="C34:C38"/>
    <mergeCell ref="F34:F38"/>
    <mergeCell ref="G34:G38"/>
    <mergeCell ref="G24:G28"/>
    <mergeCell ref="H24:H28"/>
    <mergeCell ref="I24:I28"/>
    <mergeCell ref="A29:A33"/>
    <mergeCell ref="B29:B33"/>
    <mergeCell ref="C29:C33"/>
    <mergeCell ref="F29:F33"/>
    <mergeCell ref="G29:G33"/>
    <mergeCell ref="G14:G18"/>
    <mergeCell ref="H14:H18"/>
    <mergeCell ref="I14:I18"/>
    <mergeCell ref="F19:F23"/>
    <mergeCell ref="G19:G23"/>
    <mergeCell ref="H19:H23"/>
    <mergeCell ref="I19:I23"/>
    <mergeCell ref="B10:C10"/>
    <mergeCell ref="B11:C11"/>
    <mergeCell ref="D1:F1"/>
    <mergeCell ref="A14:A18"/>
    <mergeCell ref="B14:B18"/>
    <mergeCell ref="C14:C18"/>
    <mergeCell ref="D13:E13"/>
    <mergeCell ref="A19:A23"/>
    <mergeCell ref="B19:B23"/>
    <mergeCell ref="C19:C23"/>
    <mergeCell ref="F14:F18"/>
    <mergeCell ref="A24:A28"/>
    <mergeCell ref="B24:B28"/>
    <mergeCell ref="C24:C28"/>
    <mergeCell ref="F24:F28"/>
  </mergeCells>
  <dataValidations count="3">
    <dataValidation type="list" allowBlank="1" showInputMessage="1" showErrorMessage="1" sqref="E14:E73" xr:uid="{ABAFFCBC-94CA-4F10-BADF-BCB4E040098E}">
      <formula1>$K$14:$K$15</formula1>
    </dataValidation>
    <dataValidation type="whole" allowBlank="1" showInputMessage="1" showErrorMessage="1" sqref="F14:G73" xr:uid="{05572298-3D46-441E-BAF4-989C6EE69CB2}">
      <formula1>0</formula1>
      <formula2>100</formula2>
    </dataValidation>
    <dataValidation type="decimal" allowBlank="1" showInputMessage="1" showErrorMessage="1" sqref="I14:I73" xr:uid="{CDAC0FF0-50D2-443E-8992-5BA1CF8C294D}">
      <formula1>0</formula1>
      <formula2>1E+33</formula2>
    </dataValidation>
  </dataValidations>
  <hyperlinks>
    <hyperlink ref="D1:F1" location="'Respondent Information'!A1" display="Back to Respondent Information" xr:uid="{145682F9-9CE3-483D-8DBB-2EEC72F06EAC}"/>
  </hyperlinks>
  <pageMargins left="0.7" right="0.7" top="0.75" bottom="0.75" header="0.3" footer="0.3"/>
  <pageSetup scale="39" orientation="landscape" r:id="rId1"/>
  <headerFooter>
    <oddHeader>&amp;C&amp;"Arial,Bold"&amp;14EXHIBIT A-5-a-V3
SUBMISSION REQUIREMENTS AND EVALUATION RESPONSE TEMPLATE</oddHeader>
    <oddFooter>&amp;C&amp;"Arial,Bold"AHCA ITN 010-22/23, Attachment A, Exhibit A-5-a-V3, Page &amp;P of &amp;N</oddFooter>
  </headerFooter>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A328A-0CAB-4361-ADF8-32E101D96ADC}">
  <sheetPr codeName="Sheet11">
    <tabColor rgb="FF77FA00"/>
  </sheetPr>
  <dimension ref="A1:I4"/>
  <sheetViews>
    <sheetView workbookViewId="0"/>
  </sheetViews>
  <sheetFormatPr defaultRowHeight="15" x14ac:dyDescent="0.25"/>
  <cols>
    <col min="9" max="9" width="11.5703125" customWidth="1"/>
  </cols>
  <sheetData>
    <row r="1" spans="1:9" ht="23.25" x14ac:dyDescent="0.35">
      <c r="A1" s="691" t="s">
        <v>766</v>
      </c>
      <c r="B1" s="691"/>
      <c r="C1" s="691"/>
      <c r="D1" s="691"/>
      <c r="E1" s="691"/>
      <c r="F1" s="691"/>
      <c r="G1" s="691"/>
      <c r="H1" s="691"/>
      <c r="I1" s="691"/>
    </row>
    <row r="3" spans="1:9" x14ac:dyDescent="0.25">
      <c r="A3" s="1055" t="s">
        <v>82</v>
      </c>
      <c r="B3" s="1055"/>
      <c r="C3" s="1055"/>
      <c r="D3" s="1055"/>
    </row>
    <row r="4" spans="1:9" x14ac:dyDescent="0.25">
      <c r="B4" s="643"/>
      <c r="C4" s="643"/>
      <c r="D4" s="643"/>
    </row>
  </sheetData>
  <sheetProtection algorithmName="SHA-512" hashValue="4oXVCvYvwlqvVXzuD8I9u0MB66X/BVvZ1p9QkuwhTjv8ngT7uBUKfGyqayqvN9yqsrtpgJGC+OxWH+HbZHqitQ==" saltValue="K0LPn/HQ/xmYVPsrP3n4yA==" spinCount="100000" sheet="1" objects="1" scenarios="1"/>
  <mergeCells count="1">
    <mergeCell ref="A3:D3"/>
  </mergeCells>
  <hyperlinks>
    <hyperlink ref="A3" location="'Respondent Information'!A1" display="Back to Respondent Information" xr:uid="{20DE3D64-554E-4056-B4A8-4B0F4E0F7BD3}"/>
  </hyperlinks>
  <pageMargins left="0.7" right="0.7" top="0.75" bottom="0.75" header="0.3" footer="0.3"/>
  <pageSetup orientation="portrait" r:id="rId1"/>
  <headerFooter>
    <oddHeader>&amp;C&amp;"Arial,Bold"&amp;14EXHIBIT A-5-a-V3
SUBMISSION REQUIREMENTS AND EVALUATION RESPONSE TEMPLATE</oddHeader>
    <oddFooter>&amp;C&amp;"Arial,Bold"AHCA ITN 010-22/23, Attachment A, Exhibit A-5-a-V3, Page &amp;P of &amp;N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D9ED3-72B5-43FC-8673-0A734A1C8285}">
  <sheetPr codeName="Sheet25">
    <tabColor rgb="FF77FA00"/>
    <pageSetUpPr fitToPage="1"/>
  </sheetPr>
  <dimension ref="A1:X41"/>
  <sheetViews>
    <sheetView workbookViewId="0"/>
  </sheetViews>
  <sheetFormatPr defaultRowHeight="15" x14ac:dyDescent="0.25"/>
  <cols>
    <col min="1" max="1" width="46.140625" customWidth="1"/>
    <col min="2" max="2" width="19.28515625" customWidth="1"/>
    <col min="3" max="3" width="13.42578125" customWidth="1"/>
    <col min="4" max="4" width="17.85546875" bestFit="1" customWidth="1"/>
    <col min="5" max="5" width="16.85546875" bestFit="1" customWidth="1"/>
    <col min="6" max="6" width="17.42578125" bestFit="1" customWidth="1"/>
    <col min="7" max="7" width="26" bestFit="1" customWidth="1"/>
    <col min="8" max="8" width="10.42578125" customWidth="1"/>
    <col min="9" max="9" width="25.5703125" customWidth="1"/>
    <col min="10" max="10" width="21.140625" bestFit="1" customWidth="1"/>
    <col min="11" max="11" width="8.7109375" customWidth="1"/>
    <col min="12" max="18" width="9.140625" hidden="1" customWidth="1"/>
    <col min="19" max="19" width="15.7109375" hidden="1" customWidth="1"/>
    <col min="20" max="20" width="9.140625" customWidth="1"/>
    <col min="24" max="24" width="9.7109375" hidden="1" customWidth="1"/>
  </cols>
  <sheetData>
    <row r="1" spans="1:24" ht="23.25" x14ac:dyDescent="0.35">
      <c r="A1" s="691" t="s">
        <v>767</v>
      </c>
      <c r="D1" s="1055" t="s">
        <v>82</v>
      </c>
      <c r="E1" s="1055"/>
      <c r="F1" s="643"/>
    </row>
    <row r="3" spans="1:24" x14ac:dyDescent="0.25">
      <c r="A3" s="657" t="s">
        <v>84</v>
      </c>
      <c r="B3" s="657" t="s">
        <v>85</v>
      </c>
    </row>
    <row r="4" spans="1:24" x14ac:dyDescent="0.25">
      <c r="A4" s="693" t="s">
        <v>87</v>
      </c>
      <c r="B4" s="179">
        <v>5</v>
      </c>
    </row>
    <row r="5" spans="1:24" x14ac:dyDescent="0.25">
      <c r="A5" s="693" t="s">
        <v>88</v>
      </c>
      <c r="B5" s="422">
        <f>C41</f>
        <v>0</v>
      </c>
    </row>
    <row r="6" spans="1:24" x14ac:dyDescent="0.25">
      <c r="A6" s="693" t="s">
        <v>89</v>
      </c>
      <c r="B6" s="420">
        <f>B5/B4</f>
        <v>0</v>
      </c>
    </row>
    <row r="7" spans="1:24" x14ac:dyDescent="0.25">
      <c r="A7" s="693" t="s">
        <v>135</v>
      </c>
      <c r="B7" s="179">
        <v>350</v>
      </c>
    </row>
    <row r="8" spans="1:24" x14ac:dyDescent="0.25">
      <c r="A8" s="693" t="s">
        <v>768</v>
      </c>
      <c r="B8" s="426">
        <f>B6*B7</f>
        <v>0</v>
      </c>
    </row>
    <row r="9" spans="1:24" ht="15.75" thickBot="1" x14ac:dyDescent="0.3"/>
    <row r="10" spans="1:24" ht="45.75" thickBot="1" x14ac:dyDescent="0.3">
      <c r="A10" s="896" t="s">
        <v>19</v>
      </c>
      <c r="B10" s="896" t="s">
        <v>20</v>
      </c>
      <c r="C10" s="896" t="s">
        <v>18</v>
      </c>
      <c r="D10" s="896" t="s">
        <v>1249</v>
      </c>
      <c r="E10" s="896" t="s">
        <v>769</v>
      </c>
      <c r="F10" s="896" t="s">
        <v>1250</v>
      </c>
      <c r="G10" s="896" t="s">
        <v>770</v>
      </c>
      <c r="H10" s="896" t="s">
        <v>771</v>
      </c>
      <c r="I10" s="896" t="s">
        <v>772</v>
      </c>
      <c r="J10" s="897" t="s">
        <v>1251</v>
      </c>
      <c r="N10" t="s">
        <v>773</v>
      </c>
      <c r="P10" t="s">
        <v>774</v>
      </c>
      <c r="Q10" t="s">
        <v>263</v>
      </c>
      <c r="R10" t="s">
        <v>775</v>
      </c>
      <c r="S10" t="s">
        <v>776</v>
      </c>
    </row>
    <row r="11" spans="1:24" x14ac:dyDescent="0.25">
      <c r="A11" s="892"/>
      <c r="B11" s="893"/>
      <c r="C11" s="893"/>
      <c r="D11" s="894"/>
      <c r="E11" s="894"/>
      <c r="F11" s="348">
        <f>IF(E11&gt;X11, DATEDIF(D11, "08/15/2023", "y"), DATEDIF(D11,E11,"y"))</f>
        <v>0</v>
      </c>
      <c r="G11" s="893"/>
      <c r="H11" s="893"/>
      <c r="I11" s="895"/>
      <c r="J11" s="920"/>
      <c r="N11">
        <f>IF(B11="Medicaid",1,IF(B11="CHIP",0.9,IF(B11="Medicare",0.8,0)))</f>
        <v>0</v>
      </c>
      <c r="P11">
        <f>IF(F11&gt;5, 1, IF(F11&gt;2, 0.75, IF(F11&gt;0, 0.5, 0)))</f>
        <v>0</v>
      </c>
      <c r="Q11">
        <f>IF(ISBLANK(G11), 0, IF(G11="Statewide", 1, 0.8))</f>
        <v>0</v>
      </c>
      <c r="R11">
        <f>IF(H11="Yes", 1, 0)</f>
        <v>0</v>
      </c>
      <c r="S11">
        <f t="shared" ref="S11:S30" si="0">IF(I11&gt;=500000, 1, IF(I11&gt;=250000, 0.5, 0))</f>
        <v>0</v>
      </c>
      <c r="X11" s="838">
        <v>45152</v>
      </c>
    </row>
    <row r="12" spans="1:24" x14ac:dyDescent="0.25">
      <c r="A12" s="890"/>
      <c r="B12" s="685"/>
      <c r="C12" s="685"/>
      <c r="D12" s="489"/>
      <c r="E12" s="489"/>
      <c r="F12" s="702">
        <f t="shared" ref="F12:F30" si="1">IF(E12&gt;X12, DATEDIF(D12, "08/15/2023", "y"), DATEDIF(D12,E12,"y"))</f>
        <v>0</v>
      </c>
      <c r="G12" s="685"/>
      <c r="H12" s="685"/>
      <c r="I12" s="553"/>
      <c r="J12" s="921"/>
      <c r="N12">
        <f t="shared" ref="N12:N30" si="2">IF(B12="Medicaid",1,IF(B12="CHIP",0.9,IF(B12="Medicare",0.8,0)))</f>
        <v>0</v>
      </c>
      <c r="O12" t="s">
        <v>263</v>
      </c>
      <c r="P12">
        <f t="shared" ref="P12:P30" si="3">IF(F12&gt;5, 1, IF(F12&gt;2, 0.75, IF(F12&gt;0, 0.5, 0)))</f>
        <v>0</v>
      </c>
      <c r="Q12">
        <f t="shared" ref="Q12:Q30" si="4">IF(ISBLANK(G12), 0, IF(G12="Statewide", 1, 0.8))</f>
        <v>0</v>
      </c>
      <c r="R12">
        <f t="shared" ref="R12:R30" si="5">IF(H12="Yes", 1, 0)</f>
        <v>0</v>
      </c>
      <c r="S12">
        <f t="shared" si="0"/>
        <v>0</v>
      </c>
    </row>
    <row r="13" spans="1:24" x14ac:dyDescent="0.25">
      <c r="A13" s="890"/>
      <c r="B13" s="685"/>
      <c r="C13" s="685"/>
      <c r="D13" s="489"/>
      <c r="E13" s="489"/>
      <c r="F13" s="702">
        <f t="shared" si="1"/>
        <v>0</v>
      </c>
      <c r="G13" s="685"/>
      <c r="H13" s="685"/>
      <c r="I13" s="553"/>
      <c r="J13" s="921"/>
      <c r="L13" t="s">
        <v>777</v>
      </c>
      <c r="M13">
        <v>0</v>
      </c>
      <c r="N13">
        <f t="shared" si="2"/>
        <v>0</v>
      </c>
      <c r="O13" t="s">
        <v>266</v>
      </c>
      <c r="P13">
        <f t="shared" si="3"/>
        <v>0</v>
      </c>
      <c r="Q13">
        <f t="shared" si="4"/>
        <v>0</v>
      </c>
      <c r="R13">
        <f t="shared" si="5"/>
        <v>0</v>
      </c>
      <c r="S13">
        <f t="shared" si="0"/>
        <v>0</v>
      </c>
    </row>
    <row r="14" spans="1:24" x14ac:dyDescent="0.25">
      <c r="A14" s="890"/>
      <c r="B14" s="685"/>
      <c r="C14" s="685"/>
      <c r="D14" s="489"/>
      <c r="E14" s="489"/>
      <c r="F14" s="702">
        <f t="shared" si="1"/>
        <v>0</v>
      </c>
      <c r="G14" s="685"/>
      <c r="H14" s="685"/>
      <c r="I14" s="553"/>
      <c r="J14" s="921"/>
      <c r="L14" t="s">
        <v>778</v>
      </c>
      <c r="M14">
        <v>0.5</v>
      </c>
      <c r="N14">
        <f t="shared" si="2"/>
        <v>0</v>
      </c>
      <c r="P14">
        <f t="shared" si="3"/>
        <v>0</v>
      </c>
      <c r="Q14">
        <f t="shared" si="4"/>
        <v>0</v>
      </c>
      <c r="R14">
        <f t="shared" si="5"/>
        <v>0</v>
      </c>
      <c r="S14">
        <f t="shared" si="0"/>
        <v>0</v>
      </c>
    </row>
    <row r="15" spans="1:24" x14ac:dyDescent="0.25">
      <c r="A15" s="890"/>
      <c r="B15" s="685"/>
      <c r="C15" s="685"/>
      <c r="D15" s="489"/>
      <c r="E15" s="489"/>
      <c r="F15" s="702">
        <f t="shared" si="1"/>
        <v>0</v>
      </c>
      <c r="G15" s="685"/>
      <c r="H15" s="685"/>
      <c r="I15" s="553"/>
      <c r="J15" s="921"/>
      <c r="L15" t="s">
        <v>779</v>
      </c>
      <c r="M15">
        <v>0.75</v>
      </c>
      <c r="N15">
        <f t="shared" si="2"/>
        <v>0</v>
      </c>
      <c r="P15">
        <f t="shared" si="3"/>
        <v>0</v>
      </c>
      <c r="Q15">
        <f t="shared" si="4"/>
        <v>0</v>
      </c>
      <c r="R15">
        <f t="shared" si="5"/>
        <v>0</v>
      </c>
      <c r="S15">
        <f t="shared" si="0"/>
        <v>0</v>
      </c>
    </row>
    <row r="16" spans="1:24" x14ac:dyDescent="0.25">
      <c r="A16" s="890"/>
      <c r="B16" s="685"/>
      <c r="C16" s="685"/>
      <c r="D16" s="489"/>
      <c r="E16" s="489"/>
      <c r="F16" s="702">
        <f t="shared" si="1"/>
        <v>0</v>
      </c>
      <c r="G16" s="685"/>
      <c r="H16" s="685"/>
      <c r="I16" s="553"/>
      <c r="J16" s="921"/>
      <c r="L16" t="s">
        <v>780</v>
      </c>
      <c r="M16">
        <v>1</v>
      </c>
      <c r="N16">
        <f t="shared" si="2"/>
        <v>0</v>
      </c>
      <c r="P16">
        <f t="shared" si="3"/>
        <v>0</v>
      </c>
      <c r="Q16">
        <f t="shared" si="4"/>
        <v>0</v>
      </c>
      <c r="R16">
        <f t="shared" si="5"/>
        <v>0</v>
      </c>
      <c r="S16">
        <f t="shared" si="0"/>
        <v>0</v>
      </c>
    </row>
    <row r="17" spans="1:19" x14ac:dyDescent="0.25">
      <c r="A17" s="890"/>
      <c r="B17" s="685"/>
      <c r="C17" s="685"/>
      <c r="D17" s="489"/>
      <c r="E17" s="489"/>
      <c r="F17" s="702">
        <f t="shared" si="1"/>
        <v>0</v>
      </c>
      <c r="G17" s="685"/>
      <c r="H17" s="685"/>
      <c r="I17" s="553"/>
      <c r="J17" s="921"/>
      <c r="N17">
        <f t="shared" si="2"/>
        <v>0</v>
      </c>
      <c r="O17" t="s">
        <v>26</v>
      </c>
      <c r="P17">
        <f t="shared" si="3"/>
        <v>0</v>
      </c>
      <c r="Q17">
        <f t="shared" si="4"/>
        <v>0</v>
      </c>
      <c r="R17">
        <f t="shared" si="5"/>
        <v>0</v>
      </c>
      <c r="S17">
        <f t="shared" si="0"/>
        <v>0</v>
      </c>
    </row>
    <row r="18" spans="1:19" x14ac:dyDescent="0.25">
      <c r="A18" s="890"/>
      <c r="B18" s="685"/>
      <c r="C18" s="685"/>
      <c r="D18" s="489"/>
      <c r="E18" s="489"/>
      <c r="F18" s="702">
        <f t="shared" si="1"/>
        <v>0</v>
      </c>
      <c r="G18" s="685"/>
      <c r="H18" s="685"/>
      <c r="I18" s="553"/>
      <c r="J18" s="921"/>
      <c r="N18">
        <f t="shared" si="2"/>
        <v>0</v>
      </c>
      <c r="O18" t="s">
        <v>28</v>
      </c>
      <c r="P18">
        <f t="shared" si="3"/>
        <v>0</v>
      </c>
      <c r="Q18">
        <f t="shared" si="4"/>
        <v>0</v>
      </c>
      <c r="R18">
        <f t="shared" si="5"/>
        <v>0</v>
      </c>
      <c r="S18">
        <f t="shared" si="0"/>
        <v>0</v>
      </c>
    </row>
    <row r="19" spans="1:19" x14ac:dyDescent="0.25">
      <c r="A19" s="890"/>
      <c r="B19" s="685"/>
      <c r="C19" s="685"/>
      <c r="D19" s="489"/>
      <c r="E19" s="489"/>
      <c r="F19" s="702">
        <f t="shared" si="1"/>
        <v>0</v>
      </c>
      <c r="G19" s="685"/>
      <c r="H19" s="685"/>
      <c r="I19" s="553"/>
      <c r="J19" s="921"/>
      <c r="N19">
        <f t="shared" si="2"/>
        <v>0</v>
      </c>
      <c r="P19">
        <f t="shared" si="3"/>
        <v>0</v>
      </c>
      <c r="Q19">
        <f t="shared" si="4"/>
        <v>0</v>
      </c>
      <c r="R19">
        <f t="shared" si="5"/>
        <v>0</v>
      </c>
      <c r="S19">
        <f t="shared" si="0"/>
        <v>0</v>
      </c>
    </row>
    <row r="20" spans="1:19" x14ac:dyDescent="0.25">
      <c r="A20" s="890"/>
      <c r="B20" s="685"/>
      <c r="C20" s="685"/>
      <c r="D20" s="489"/>
      <c r="E20" s="489"/>
      <c r="F20" s="702">
        <f t="shared" si="1"/>
        <v>0</v>
      </c>
      <c r="G20" s="685"/>
      <c r="H20" s="685"/>
      <c r="I20" s="553"/>
      <c r="J20" s="921"/>
      <c r="L20" t="s">
        <v>263</v>
      </c>
      <c r="M20">
        <v>1</v>
      </c>
      <c r="N20">
        <f t="shared" si="2"/>
        <v>0</v>
      </c>
      <c r="O20" t="s">
        <v>66</v>
      </c>
      <c r="P20">
        <f t="shared" si="3"/>
        <v>0</v>
      </c>
      <c r="Q20">
        <f t="shared" si="4"/>
        <v>0</v>
      </c>
      <c r="R20">
        <f t="shared" si="5"/>
        <v>0</v>
      </c>
      <c r="S20">
        <f t="shared" si="0"/>
        <v>0</v>
      </c>
    </row>
    <row r="21" spans="1:19" x14ac:dyDescent="0.25">
      <c r="A21" s="890"/>
      <c r="B21" s="685"/>
      <c r="C21" s="685"/>
      <c r="D21" s="489"/>
      <c r="E21" s="489"/>
      <c r="F21" s="702">
        <f t="shared" si="1"/>
        <v>0</v>
      </c>
      <c r="G21" s="685"/>
      <c r="H21" s="685"/>
      <c r="I21" s="553"/>
      <c r="J21" s="921"/>
      <c r="L21" t="s">
        <v>266</v>
      </c>
      <c r="M21">
        <v>0.8</v>
      </c>
      <c r="N21">
        <f t="shared" si="2"/>
        <v>0</v>
      </c>
      <c r="O21" t="s">
        <v>69</v>
      </c>
      <c r="P21">
        <f t="shared" si="3"/>
        <v>0</v>
      </c>
      <c r="Q21">
        <f t="shared" si="4"/>
        <v>0</v>
      </c>
      <c r="R21">
        <f t="shared" si="5"/>
        <v>0</v>
      </c>
      <c r="S21">
        <f t="shared" si="0"/>
        <v>0</v>
      </c>
    </row>
    <row r="22" spans="1:19" x14ac:dyDescent="0.25">
      <c r="A22" s="890"/>
      <c r="B22" s="685"/>
      <c r="C22" s="685"/>
      <c r="D22" s="489"/>
      <c r="E22" s="489"/>
      <c r="F22" s="702">
        <f t="shared" si="1"/>
        <v>0</v>
      </c>
      <c r="G22" s="685"/>
      <c r="H22" s="685"/>
      <c r="I22" s="553"/>
      <c r="J22" s="921"/>
      <c r="N22">
        <f t="shared" si="2"/>
        <v>0</v>
      </c>
      <c r="O22" t="s">
        <v>72</v>
      </c>
      <c r="P22">
        <f t="shared" si="3"/>
        <v>0</v>
      </c>
      <c r="Q22">
        <f t="shared" si="4"/>
        <v>0</v>
      </c>
      <c r="R22">
        <f t="shared" si="5"/>
        <v>0</v>
      </c>
      <c r="S22">
        <f t="shared" si="0"/>
        <v>0</v>
      </c>
    </row>
    <row r="23" spans="1:19" x14ac:dyDescent="0.25">
      <c r="A23" s="890"/>
      <c r="B23" s="685"/>
      <c r="C23" s="685"/>
      <c r="D23" s="489"/>
      <c r="E23" s="489"/>
      <c r="F23" s="702">
        <f t="shared" si="1"/>
        <v>0</v>
      </c>
      <c r="G23" s="685"/>
      <c r="H23" s="685"/>
      <c r="I23" s="553"/>
      <c r="J23" s="921"/>
      <c r="L23" t="s">
        <v>771</v>
      </c>
      <c r="M23">
        <v>1</v>
      </c>
      <c r="N23">
        <f t="shared" si="2"/>
        <v>0</v>
      </c>
      <c r="P23">
        <f t="shared" si="3"/>
        <v>0</v>
      </c>
      <c r="Q23">
        <f t="shared" si="4"/>
        <v>0</v>
      </c>
      <c r="R23">
        <f t="shared" si="5"/>
        <v>0</v>
      </c>
      <c r="S23">
        <f t="shared" si="0"/>
        <v>0</v>
      </c>
    </row>
    <row r="24" spans="1:19" x14ac:dyDescent="0.25">
      <c r="A24" s="890"/>
      <c r="B24" s="685"/>
      <c r="C24" s="685"/>
      <c r="D24" s="489"/>
      <c r="E24" s="489"/>
      <c r="F24" s="702">
        <f t="shared" si="1"/>
        <v>0</v>
      </c>
      <c r="G24" s="685"/>
      <c r="H24" s="685"/>
      <c r="I24" s="553"/>
      <c r="J24" s="921"/>
      <c r="N24">
        <f t="shared" si="2"/>
        <v>0</v>
      </c>
      <c r="P24">
        <f t="shared" si="3"/>
        <v>0</v>
      </c>
      <c r="Q24">
        <f t="shared" si="4"/>
        <v>0</v>
      </c>
      <c r="R24">
        <f t="shared" si="5"/>
        <v>0</v>
      </c>
      <c r="S24">
        <f t="shared" si="0"/>
        <v>0</v>
      </c>
    </row>
    <row r="25" spans="1:19" x14ac:dyDescent="0.25">
      <c r="A25" s="890"/>
      <c r="B25" s="685"/>
      <c r="C25" s="685"/>
      <c r="D25" s="489"/>
      <c r="E25" s="489"/>
      <c r="F25" s="702">
        <f t="shared" si="1"/>
        <v>0</v>
      </c>
      <c r="G25" s="685"/>
      <c r="H25" s="685"/>
      <c r="I25" s="553"/>
      <c r="J25" s="921"/>
      <c r="N25">
        <f t="shared" si="2"/>
        <v>0</v>
      </c>
      <c r="P25">
        <f t="shared" si="3"/>
        <v>0</v>
      </c>
      <c r="Q25">
        <f t="shared" si="4"/>
        <v>0</v>
      </c>
      <c r="R25">
        <f t="shared" si="5"/>
        <v>0</v>
      </c>
      <c r="S25">
        <f t="shared" si="0"/>
        <v>0</v>
      </c>
    </row>
    <row r="26" spans="1:19" x14ac:dyDescent="0.25">
      <c r="A26" s="890"/>
      <c r="B26" s="685"/>
      <c r="C26" s="685"/>
      <c r="D26" s="489"/>
      <c r="E26" s="489"/>
      <c r="F26" s="702">
        <f t="shared" si="1"/>
        <v>0</v>
      </c>
      <c r="G26" s="685"/>
      <c r="H26" s="685"/>
      <c r="I26" s="553"/>
      <c r="J26" s="921"/>
      <c r="N26">
        <f t="shared" si="2"/>
        <v>0</v>
      </c>
      <c r="P26">
        <f t="shared" si="3"/>
        <v>0</v>
      </c>
      <c r="Q26">
        <f t="shared" si="4"/>
        <v>0</v>
      </c>
      <c r="R26">
        <f t="shared" si="5"/>
        <v>0</v>
      </c>
      <c r="S26">
        <f t="shared" si="0"/>
        <v>0</v>
      </c>
    </row>
    <row r="27" spans="1:19" x14ac:dyDescent="0.25">
      <c r="A27" s="890"/>
      <c r="B27" s="685"/>
      <c r="C27" s="685"/>
      <c r="D27" s="489"/>
      <c r="E27" s="489"/>
      <c r="F27" s="702">
        <f t="shared" si="1"/>
        <v>0</v>
      </c>
      <c r="G27" s="685"/>
      <c r="H27" s="685"/>
      <c r="I27" s="553"/>
      <c r="J27" s="921"/>
      <c r="N27">
        <f t="shared" si="2"/>
        <v>0</v>
      </c>
      <c r="P27">
        <f t="shared" si="3"/>
        <v>0</v>
      </c>
      <c r="Q27">
        <f t="shared" si="4"/>
        <v>0</v>
      </c>
      <c r="R27">
        <f t="shared" si="5"/>
        <v>0</v>
      </c>
      <c r="S27">
        <f t="shared" si="0"/>
        <v>0</v>
      </c>
    </row>
    <row r="28" spans="1:19" x14ac:dyDescent="0.25">
      <c r="A28" s="890"/>
      <c r="B28" s="685"/>
      <c r="C28" s="685"/>
      <c r="D28" s="489"/>
      <c r="E28" s="489"/>
      <c r="F28" s="702">
        <f t="shared" si="1"/>
        <v>0</v>
      </c>
      <c r="G28" s="685"/>
      <c r="H28" s="685"/>
      <c r="I28" s="553"/>
      <c r="J28" s="921"/>
      <c r="N28">
        <f t="shared" si="2"/>
        <v>0</v>
      </c>
      <c r="P28">
        <f t="shared" si="3"/>
        <v>0</v>
      </c>
      <c r="Q28">
        <f t="shared" si="4"/>
        <v>0</v>
      </c>
      <c r="R28">
        <f t="shared" si="5"/>
        <v>0</v>
      </c>
      <c r="S28">
        <f t="shared" si="0"/>
        <v>0</v>
      </c>
    </row>
    <row r="29" spans="1:19" x14ac:dyDescent="0.25">
      <c r="A29" s="890"/>
      <c r="B29" s="685"/>
      <c r="C29" s="685"/>
      <c r="D29" s="489"/>
      <c r="E29" s="489"/>
      <c r="F29" s="702">
        <f t="shared" si="1"/>
        <v>0</v>
      </c>
      <c r="G29" s="685"/>
      <c r="H29" s="685"/>
      <c r="I29" s="553"/>
      <c r="J29" s="921"/>
      <c r="N29">
        <f t="shared" si="2"/>
        <v>0</v>
      </c>
      <c r="P29">
        <f t="shared" si="3"/>
        <v>0</v>
      </c>
      <c r="Q29">
        <f t="shared" si="4"/>
        <v>0</v>
      </c>
      <c r="R29">
        <f t="shared" si="5"/>
        <v>0</v>
      </c>
      <c r="S29">
        <f t="shared" si="0"/>
        <v>0</v>
      </c>
    </row>
    <row r="30" spans="1:19" ht="15.75" thickBot="1" x14ac:dyDescent="0.3">
      <c r="A30" s="891"/>
      <c r="B30" s="490"/>
      <c r="C30" s="490"/>
      <c r="D30" s="555"/>
      <c r="E30" s="555"/>
      <c r="F30" s="27">
        <f t="shared" si="1"/>
        <v>0</v>
      </c>
      <c r="G30" s="490"/>
      <c r="H30" s="490"/>
      <c r="I30" s="554"/>
      <c r="J30" s="922"/>
      <c r="N30">
        <f t="shared" si="2"/>
        <v>0</v>
      </c>
      <c r="P30">
        <f t="shared" si="3"/>
        <v>0</v>
      </c>
      <c r="Q30">
        <f t="shared" si="4"/>
        <v>0</v>
      </c>
      <c r="R30">
        <f t="shared" si="5"/>
        <v>0</v>
      </c>
      <c r="S30">
        <f t="shared" si="0"/>
        <v>0</v>
      </c>
    </row>
    <row r="31" spans="1:19" x14ac:dyDescent="0.25">
      <c r="N31">
        <f>SUM(N11:N30)</f>
        <v>0</v>
      </c>
      <c r="P31">
        <f>SUM(P11:P30)</f>
        <v>0</v>
      </c>
      <c r="Q31">
        <f>SUM(Q11:Q30)</f>
        <v>0</v>
      </c>
      <c r="R31">
        <f>SUM(R11:R30)</f>
        <v>0</v>
      </c>
      <c r="S31">
        <f>SUM(S11:S30)</f>
        <v>0</v>
      </c>
    </row>
    <row r="32" spans="1:19" ht="21" x14ac:dyDescent="0.35">
      <c r="A32" s="1056" t="s">
        <v>431</v>
      </c>
      <c r="B32" s="1056"/>
    </row>
    <row r="33" spans="1:3" ht="15.75" thickBot="1" x14ac:dyDescent="0.3"/>
    <row r="34" spans="1:3" x14ac:dyDescent="0.25">
      <c r="A34" s="203" t="s">
        <v>218</v>
      </c>
      <c r="B34" s="661" t="s">
        <v>149</v>
      </c>
      <c r="C34" s="662" t="s">
        <v>34</v>
      </c>
    </row>
    <row r="35" spans="1:3" x14ac:dyDescent="0.25">
      <c r="A35" s="92" t="s">
        <v>20</v>
      </c>
      <c r="B35" s="702">
        <v>20</v>
      </c>
      <c r="C35" s="26">
        <f>N31</f>
        <v>0</v>
      </c>
    </row>
    <row r="36" spans="1:3" x14ac:dyDescent="0.25">
      <c r="A36" s="92" t="s">
        <v>774</v>
      </c>
      <c r="B36" s="702">
        <v>20</v>
      </c>
      <c r="C36" s="26">
        <f>P31</f>
        <v>0</v>
      </c>
    </row>
    <row r="37" spans="1:3" x14ac:dyDescent="0.25">
      <c r="A37" s="92" t="s">
        <v>781</v>
      </c>
      <c r="B37" s="702">
        <v>20</v>
      </c>
      <c r="C37" s="26">
        <f>Q31</f>
        <v>0</v>
      </c>
    </row>
    <row r="38" spans="1:3" x14ac:dyDescent="0.25">
      <c r="A38" s="92" t="s">
        <v>782</v>
      </c>
      <c r="B38" s="702">
        <v>20</v>
      </c>
      <c r="C38" s="26">
        <f>R31</f>
        <v>0</v>
      </c>
    </row>
    <row r="39" spans="1:3" x14ac:dyDescent="0.25">
      <c r="A39" s="92" t="s">
        <v>6</v>
      </c>
      <c r="B39" s="702">
        <v>20</v>
      </c>
      <c r="C39" s="26">
        <f>S31</f>
        <v>0</v>
      </c>
    </row>
    <row r="40" spans="1:3" x14ac:dyDescent="0.25">
      <c r="A40" s="1388" t="s">
        <v>783</v>
      </c>
      <c r="B40" s="1389"/>
      <c r="C40" s="26">
        <f>SUM(C35:C39)</f>
        <v>0</v>
      </c>
    </row>
    <row r="41" spans="1:3" ht="15.75" thickBot="1" x14ac:dyDescent="0.3">
      <c r="A41" s="1390" t="s">
        <v>88</v>
      </c>
      <c r="B41" s="1391"/>
      <c r="C41" s="898">
        <f>C40/20</f>
        <v>0</v>
      </c>
    </row>
  </sheetData>
  <sheetProtection algorithmName="SHA-512" hashValue="4Fem3RW62xHj8+NUj2Lo2raeIIADYt+JQelOHatlw0MEge7RgQa0qi5gOO3+qN43SGBmlECKtsMJkfP1Iwq+8Q==" saltValue="/yaFgHSOJ8xMt/nUImjVsg==" spinCount="100000" sheet="1" objects="1" scenarios="1"/>
  <protectedRanges>
    <protectedRange sqref="A11:A30" name="Range2"/>
    <protectedRange sqref="B11:E30 G11:J30" name="Range1"/>
  </protectedRanges>
  <mergeCells count="4">
    <mergeCell ref="A32:B32"/>
    <mergeCell ref="A40:B40"/>
    <mergeCell ref="A41:B41"/>
    <mergeCell ref="D1:E1"/>
  </mergeCells>
  <dataValidations count="6">
    <dataValidation type="list" allowBlank="1" showInputMessage="1" showErrorMessage="1" sqref="B11:B30" xr:uid="{2D804CD6-2D8B-4903-BFFF-C756306A2CE8}">
      <formula1>$O$20:$O$22</formula1>
    </dataValidation>
    <dataValidation type="list" allowBlank="1" showInputMessage="1" showErrorMessage="1" sqref="G11:G30" xr:uid="{38DE4DBA-6EDB-48EA-89D5-83A74980A00D}">
      <formula1>$O$12:$O$13</formula1>
    </dataValidation>
    <dataValidation type="list" allowBlank="1" showInputMessage="1" showErrorMessage="1" sqref="H11:H30" xr:uid="{80480A1B-26EC-4D8A-AD46-A6F10CD869E6}">
      <formula1>$O$17:$O$18</formula1>
    </dataValidation>
    <dataValidation type="whole" allowBlank="1" showInputMessage="1" showErrorMessage="1" sqref="I11:I30" xr:uid="{66394D7B-E827-45A9-9BB0-FD7E6F78D356}">
      <formula1>0</formula1>
      <formula2>100000000000</formula2>
    </dataValidation>
    <dataValidation type="decimal" allowBlank="1" showInputMessage="1" showErrorMessage="1" sqref="J11:J30" xr:uid="{C89688EC-0A26-4459-B3CE-4A0FD23C4C35}">
      <formula1>0</formula1>
      <formula2>80000000000000000</formula2>
    </dataValidation>
    <dataValidation type="date" operator="greaterThan" allowBlank="1" showInputMessage="1" showErrorMessage="1" sqref="D11:E30" xr:uid="{8EAA31A3-B22A-4CAF-9E95-6EA8EBBBFE24}">
      <formula1>1</formula1>
    </dataValidation>
  </dataValidations>
  <hyperlinks>
    <hyperlink ref="D1" location="'Respondent Information'!A1" display="Back to Respondent Information" xr:uid="{8232E19E-1540-4C01-8D22-D4F05D9F1696}"/>
  </hyperlinks>
  <pageMargins left="0.7" right="0.7" top="0.75" bottom="0.75" header="0.3" footer="0.3"/>
  <pageSetup scale="57" fitToHeight="0" orientation="landscape" r:id="rId1"/>
  <headerFooter>
    <oddHeader>&amp;C&amp;"Arial,Bold"&amp;14EXHIBIT A-5-a-V3
SUBMISSION REQUIREMENTS AND EVALUATION RESPONSE TEMPLATE</oddHeader>
    <oddFooter>&amp;C&amp;"Arial,Bold"AHCA ITN 010-22/23, Attachment A, Exhibit A-5-a-V3, Page &amp;P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DBF6A-397A-4061-8F75-F53DC11A2439}">
  <sheetPr codeName="Sheet48">
    <tabColor theme="4" tint="-0.249977111117893"/>
  </sheetPr>
  <dimension ref="A1:I3"/>
  <sheetViews>
    <sheetView zoomScaleNormal="100" workbookViewId="0">
      <selection activeCell="Y12" sqref="Y12"/>
    </sheetView>
  </sheetViews>
  <sheetFormatPr defaultRowHeight="15" x14ac:dyDescent="0.25"/>
  <cols>
    <col min="1" max="1" width="9.140625" customWidth="1"/>
  </cols>
  <sheetData>
    <row r="1" spans="1:9" ht="23.25" x14ac:dyDescent="0.35">
      <c r="A1" s="691" t="s">
        <v>784</v>
      </c>
      <c r="B1" s="691"/>
      <c r="C1" s="691"/>
      <c r="D1" s="691"/>
      <c r="E1" s="691"/>
      <c r="F1" s="691"/>
      <c r="G1" s="691"/>
      <c r="H1" s="691"/>
      <c r="I1" s="691"/>
    </row>
    <row r="2" spans="1:9" ht="15" customHeight="1" x14ac:dyDescent="0.35">
      <c r="A2" s="691"/>
      <c r="B2" s="691"/>
      <c r="C2" s="691"/>
      <c r="D2" s="691"/>
      <c r="E2" s="691"/>
      <c r="F2" s="691"/>
      <c r="G2" s="691"/>
      <c r="H2" s="691"/>
      <c r="I2" s="691"/>
    </row>
    <row r="3" spans="1:9" x14ac:dyDescent="0.25">
      <c r="A3" s="1083" t="s">
        <v>82</v>
      </c>
      <c r="B3" s="1083"/>
      <c r="C3" s="1083"/>
      <c r="D3" s="1083"/>
    </row>
  </sheetData>
  <sheetProtection algorithmName="SHA-512" hashValue="7cZCSYbezsknq4KatDMPu0nv0ssFii6EhTLypEnjnaiW5/Wtss+e0c/epUrq+UVLI7B4I5C2uX2I5YBXsULi+g==" saltValue="K2AYVB1J+eT7QDfSsMO89Q==" spinCount="100000" sheet="1" objects="1" scenarios="1"/>
  <mergeCells count="1">
    <mergeCell ref="A3:D3"/>
  </mergeCells>
  <hyperlinks>
    <hyperlink ref="A3" location="'Respondent Information'!A1" display="Back to Respondent Information" xr:uid="{8391623B-5965-4174-9AAC-D1FE5FE1D0B7}"/>
  </hyperlinks>
  <pageMargins left="0.7" right="0.7" top="0.75" bottom="0.75" header="0.3" footer="0.3"/>
  <pageSetup orientation="portrait" r:id="rId1"/>
  <headerFooter>
    <oddHeader>&amp;C&amp;"Arial,Bold"&amp;14EXHIBIT A-5-a-V3
SUBMISSION REQUIREMENTS AND EVALUATION RESPONSE TEMPLATE</oddHeader>
    <oddFooter>&amp;C&amp;"Arial,Bold"AHCA ITN 010-22/23, Attachment A, Exhibit A-5-a-V3, Page &amp;P of &amp;N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50EB6-5558-46EF-A158-1AE260292744}">
  <sheetPr codeName="Sheet49">
    <tabColor theme="4" tint="-0.249977111117893"/>
    <pageSetUpPr fitToPage="1"/>
  </sheetPr>
  <dimension ref="A1:BJ140"/>
  <sheetViews>
    <sheetView zoomScaleNormal="100" workbookViewId="0">
      <pane ySplit="9" topLeftCell="A10" activePane="bottomLeft" state="frozen"/>
      <selection activeCell="L1" sqref="L1"/>
      <selection pane="bottomLeft" sqref="A1:C1"/>
    </sheetView>
  </sheetViews>
  <sheetFormatPr defaultRowHeight="15" x14ac:dyDescent="0.25"/>
  <cols>
    <col min="1" max="1" width="3" bestFit="1" customWidth="1"/>
    <col min="2" max="2" width="31.5703125" customWidth="1"/>
    <col min="3" max="3" width="25.85546875" customWidth="1"/>
    <col min="4" max="4" width="15.140625" customWidth="1"/>
    <col min="5" max="5" width="19.85546875" bestFit="1" customWidth="1"/>
    <col min="6" max="6" width="21.7109375" customWidth="1"/>
    <col min="7" max="7" width="3" bestFit="1" customWidth="1"/>
    <col min="8" max="8" width="28.28515625" bestFit="1" customWidth="1"/>
    <col min="9" max="9" width="27" customWidth="1"/>
    <col min="10" max="10" width="15.140625" customWidth="1"/>
    <col min="11" max="11" width="13.42578125" bestFit="1" customWidth="1"/>
    <col min="12" max="12" width="19.85546875" bestFit="1" customWidth="1"/>
    <col min="13" max="13" width="3" bestFit="1" customWidth="1"/>
    <col min="14" max="14" width="28.28515625" bestFit="1" customWidth="1"/>
    <col min="15" max="15" width="20.7109375" customWidth="1"/>
    <col min="16" max="16" width="20.42578125" customWidth="1"/>
    <col min="17" max="17" width="13.42578125" bestFit="1" customWidth="1"/>
    <col min="18" max="18" width="26.42578125" bestFit="1" customWidth="1"/>
    <col min="19" max="19" width="3" bestFit="1" customWidth="1"/>
    <col min="20" max="20" width="28.28515625" bestFit="1" customWidth="1"/>
    <col min="21" max="21" width="20.5703125" customWidth="1"/>
    <col min="22" max="22" width="20.140625" customWidth="1"/>
    <col min="23" max="23" width="13.42578125" bestFit="1" customWidth="1"/>
    <col min="24" max="24" width="21.42578125" bestFit="1" customWidth="1"/>
    <col min="25" max="25" width="3" bestFit="1" customWidth="1"/>
    <col min="26" max="26" width="28.28515625" bestFit="1" customWidth="1"/>
    <col min="27" max="27" width="28" customWidth="1"/>
    <col min="28" max="28" width="12.7109375" customWidth="1"/>
    <col min="29" max="29" width="13.42578125" bestFit="1" customWidth="1"/>
    <col min="30" max="30" width="21.42578125" bestFit="1" customWidth="1"/>
    <col min="31" max="31" width="3" bestFit="1" customWidth="1"/>
    <col min="32" max="32" width="28.28515625" bestFit="1" customWidth="1"/>
    <col min="33" max="33" width="22.85546875" customWidth="1"/>
    <col min="34" max="34" width="18" customWidth="1"/>
    <col min="35" max="35" width="13.42578125" bestFit="1" customWidth="1"/>
    <col min="36" max="36" width="16.42578125" bestFit="1" customWidth="1"/>
    <col min="37" max="37" width="3" bestFit="1" customWidth="1"/>
    <col min="38" max="38" width="28.28515625" bestFit="1" customWidth="1"/>
    <col min="39" max="39" width="28" customWidth="1"/>
    <col min="40" max="40" width="12.7109375" customWidth="1"/>
    <col min="41" max="41" width="13.42578125" bestFit="1" customWidth="1"/>
    <col min="42" max="42" width="23.7109375" bestFit="1" customWidth="1"/>
    <col min="43" max="43" width="3" bestFit="1" customWidth="1"/>
    <col min="44" max="44" width="28.28515625" bestFit="1" customWidth="1"/>
    <col min="45" max="45" width="21.140625" customWidth="1"/>
    <col min="46" max="46" width="19.5703125" customWidth="1"/>
    <col min="47" max="47" width="13.42578125" bestFit="1" customWidth="1"/>
    <col min="48" max="48" width="16.42578125" bestFit="1" customWidth="1"/>
    <col min="49" max="49" width="3" bestFit="1" customWidth="1"/>
    <col min="50" max="50" width="28.28515625" bestFit="1" customWidth="1"/>
    <col min="51" max="51" width="20" customWidth="1"/>
    <col min="52" max="52" width="20.5703125" customWidth="1"/>
    <col min="53" max="53" width="13.42578125" bestFit="1" customWidth="1"/>
    <col min="54" max="54" width="21.42578125" bestFit="1" customWidth="1"/>
    <col min="62" max="62" width="0" hidden="1" customWidth="1"/>
  </cols>
  <sheetData>
    <row r="1" spans="1:62" ht="23.25" x14ac:dyDescent="0.35">
      <c r="A1" s="1449" t="s">
        <v>785</v>
      </c>
      <c r="B1" s="1449"/>
      <c r="C1" s="1449"/>
      <c r="E1" s="1055" t="s">
        <v>82</v>
      </c>
      <c r="F1" s="1055"/>
    </row>
    <row r="2" spans="1:62" ht="28.5" x14ac:dyDescent="0.45">
      <c r="B2" s="14"/>
    </row>
    <row r="3" spans="1:62" x14ac:dyDescent="0.25">
      <c r="A3" s="1423" t="s">
        <v>84</v>
      </c>
      <c r="B3" s="1423"/>
      <c r="C3" s="692" t="s">
        <v>85</v>
      </c>
      <c r="E3" s="1055" t="s">
        <v>786</v>
      </c>
      <c r="F3" s="1055"/>
    </row>
    <row r="4" spans="1:62" ht="15.75" thickBot="1" x14ac:dyDescent="0.3">
      <c r="A4" s="1424" t="s">
        <v>787</v>
      </c>
      <c r="B4" s="1424"/>
      <c r="C4" s="179">
        <v>297</v>
      </c>
      <c r="E4" s="195"/>
    </row>
    <row r="5" spans="1:62" ht="75.75" thickBot="1" x14ac:dyDescent="0.3">
      <c r="A5" s="1424" t="s">
        <v>788</v>
      </c>
      <c r="B5" s="1424"/>
      <c r="C5" s="222">
        <f>H106</f>
        <v>0</v>
      </c>
      <c r="D5" s="111"/>
      <c r="E5" s="914" t="s">
        <v>1279</v>
      </c>
      <c r="F5" s="915"/>
      <c r="G5" s="111"/>
      <c r="BJ5" t="s">
        <v>26</v>
      </c>
    </row>
    <row r="6" spans="1:62" ht="15.75" thickBot="1" x14ac:dyDescent="0.3">
      <c r="A6" s="41"/>
      <c r="B6" s="113"/>
      <c r="C6" s="111"/>
      <c r="D6" s="111"/>
      <c r="E6" s="111"/>
      <c r="F6" s="110"/>
      <c r="G6" s="111"/>
      <c r="H6" s="110"/>
      <c r="I6" s="110"/>
      <c r="BJ6" t="s">
        <v>28</v>
      </c>
    </row>
    <row r="7" spans="1:62" s="192" customFormat="1" ht="23.25" x14ac:dyDescent="0.35">
      <c r="A7" s="1410">
        <f>'Respondent Information'!C6</f>
        <v>0</v>
      </c>
      <c r="B7" s="1411"/>
      <c r="C7" s="1411"/>
      <c r="D7" s="1411"/>
      <c r="E7" s="1411"/>
      <c r="F7" s="1411"/>
      <c r="G7" s="1411"/>
      <c r="H7" s="1411"/>
      <c r="I7" s="1411"/>
      <c r="J7" s="1411"/>
      <c r="K7" s="1411"/>
      <c r="L7" s="1411"/>
      <c r="M7" s="1411"/>
      <c r="N7" s="1411"/>
      <c r="O7" s="1411"/>
      <c r="P7" s="1411"/>
      <c r="Q7" s="1411"/>
      <c r="R7" s="1411"/>
      <c r="S7" s="1410">
        <f>'Respondent Information'!C9</f>
        <v>0</v>
      </c>
      <c r="T7" s="1411"/>
      <c r="U7" s="1411"/>
      <c r="V7" s="1411"/>
      <c r="W7" s="1411"/>
      <c r="X7" s="1411"/>
      <c r="Y7" s="1411"/>
      <c r="Z7" s="1411"/>
      <c r="AA7" s="1411"/>
      <c r="AB7" s="1411"/>
      <c r="AC7" s="1411"/>
      <c r="AD7" s="1411"/>
      <c r="AE7" s="1411"/>
      <c r="AF7" s="1411"/>
      <c r="AG7" s="1411"/>
      <c r="AH7" s="1411"/>
      <c r="AI7" s="1411"/>
      <c r="AJ7" s="1411"/>
      <c r="AK7" s="1410">
        <f>'Respondent Information'!C12</f>
        <v>0</v>
      </c>
      <c r="AL7" s="1411"/>
      <c r="AM7" s="1411"/>
      <c r="AN7" s="1411"/>
      <c r="AO7" s="1411"/>
      <c r="AP7" s="1411"/>
      <c r="AQ7" s="1411"/>
      <c r="AR7" s="1411"/>
      <c r="AS7" s="1411"/>
      <c r="AT7" s="1411"/>
      <c r="AU7" s="1411"/>
      <c r="AV7" s="1411"/>
      <c r="AW7" s="1411"/>
      <c r="AX7" s="1411"/>
      <c r="AY7" s="1411"/>
      <c r="AZ7" s="1411"/>
      <c r="BA7" s="1411"/>
      <c r="BB7" s="1412"/>
    </row>
    <row r="8" spans="1:62" s="192" customFormat="1" x14ac:dyDescent="0.25">
      <c r="A8" s="1445">
        <f>'Respondent Information'!E6</f>
        <v>0</v>
      </c>
      <c r="B8" s="1446"/>
      <c r="C8" s="1446"/>
      <c r="D8" s="1446"/>
      <c r="E8" s="1446"/>
      <c r="F8" s="1446"/>
      <c r="G8" s="1446"/>
      <c r="H8" s="1446"/>
      <c r="I8" s="1446"/>
      <c r="J8" s="1446"/>
      <c r="K8" s="1446"/>
      <c r="L8" s="1446"/>
      <c r="M8" s="1446"/>
      <c r="N8" s="1446"/>
      <c r="O8" s="1446"/>
      <c r="P8" s="1446"/>
      <c r="Q8" s="1446"/>
      <c r="R8" s="1446"/>
      <c r="S8" s="1427">
        <f>'Respondent Information'!E9</f>
        <v>0</v>
      </c>
      <c r="T8" s="1428"/>
      <c r="U8" s="1428"/>
      <c r="V8" s="1428"/>
      <c r="W8" s="1428"/>
      <c r="X8" s="1428"/>
      <c r="Y8" s="1428"/>
      <c r="Z8" s="1428"/>
      <c r="AA8" s="1428"/>
      <c r="AB8" s="1428"/>
      <c r="AC8" s="1428"/>
      <c r="AD8" s="1428"/>
      <c r="AE8" s="1428"/>
      <c r="AF8" s="1428"/>
      <c r="AG8" s="1428"/>
      <c r="AH8" s="1428"/>
      <c r="AI8" s="1428"/>
      <c r="AJ8" s="1428"/>
      <c r="AK8" s="1413">
        <f>'Respondent Information'!E12</f>
        <v>0</v>
      </c>
      <c r="AL8" s="1414"/>
      <c r="AM8" s="1414"/>
      <c r="AN8" s="1414"/>
      <c r="AO8" s="1414"/>
      <c r="AP8" s="1414"/>
      <c r="AQ8" s="1414"/>
      <c r="AR8" s="1414"/>
      <c r="AS8" s="1414"/>
      <c r="AT8" s="1414"/>
      <c r="AU8" s="1414"/>
      <c r="AV8" s="1414"/>
      <c r="AW8" s="1414"/>
      <c r="AX8" s="1414"/>
      <c r="AY8" s="1414"/>
      <c r="AZ8" s="1414"/>
      <c r="BA8" s="1414"/>
      <c r="BB8" s="1415"/>
    </row>
    <row r="9" spans="1:62" s="192" customFormat="1" ht="18.75" x14ac:dyDescent="0.3">
      <c r="A9" s="1442">
        <f>'Respondent Information'!I5</f>
        <v>0</v>
      </c>
      <c r="B9" s="1434"/>
      <c r="C9" s="1434"/>
      <c r="D9" s="1434"/>
      <c r="E9" s="1434"/>
      <c r="F9" s="1434"/>
      <c r="G9" s="1434">
        <f>'Respondent Information'!K5</f>
        <v>0</v>
      </c>
      <c r="H9" s="1434"/>
      <c r="I9" s="1434"/>
      <c r="J9" s="1434"/>
      <c r="K9" s="1434"/>
      <c r="L9" s="1434"/>
      <c r="M9" s="1434">
        <f>'Respondent Information'!M5</f>
        <v>0</v>
      </c>
      <c r="N9" s="1434"/>
      <c r="O9" s="1434"/>
      <c r="P9" s="1434"/>
      <c r="Q9" s="1434"/>
      <c r="R9" s="1435"/>
      <c r="S9" s="1442">
        <f>'Respondent Information'!I9</f>
        <v>0</v>
      </c>
      <c r="T9" s="1434"/>
      <c r="U9" s="1434"/>
      <c r="V9" s="1434"/>
      <c r="W9" s="1434"/>
      <c r="X9" s="1434"/>
      <c r="Y9" s="1434">
        <f>'Respondent Information'!K9</f>
        <v>0</v>
      </c>
      <c r="Z9" s="1434"/>
      <c r="AA9" s="1434"/>
      <c r="AB9" s="1434"/>
      <c r="AC9" s="1434"/>
      <c r="AD9" s="1434"/>
      <c r="AE9" s="1434">
        <f>'Respondent Information'!M9</f>
        <v>0</v>
      </c>
      <c r="AF9" s="1434"/>
      <c r="AG9" s="1434"/>
      <c r="AH9" s="1434"/>
      <c r="AI9" s="1434"/>
      <c r="AJ9" s="1435"/>
      <c r="AK9" s="1442">
        <f>'Respondent Information'!I12</f>
        <v>0</v>
      </c>
      <c r="AL9" s="1434"/>
      <c r="AM9" s="1434"/>
      <c r="AN9" s="1434"/>
      <c r="AO9" s="1434"/>
      <c r="AP9" s="1434"/>
      <c r="AQ9" s="1434">
        <f>'Respondent Information'!K12</f>
        <v>0</v>
      </c>
      <c r="AR9" s="1434"/>
      <c r="AS9" s="1434"/>
      <c r="AT9" s="1434"/>
      <c r="AU9" s="1434"/>
      <c r="AV9" s="1435"/>
      <c r="AW9" s="1434">
        <f>'Respondent Information'!M12</f>
        <v>0</v>
      </c>
      <c r="AX9" s="1434"/>
      <c r="AY9" s="1434"/>
      <c r="AZ9" s="1434"/>
      <c r="BA9" s="1434"/>
      <c r="BB9" s="1437"/>
    </row>
    <row r="10" spans="1:62" s="16" customFormat="1" ht="18.75" x14ac:dyDescent="0.3">
      <c r="A10" s="1460" t="s">
        <v>789</v>
      </c>
      <c r="B10" s="1458"/>
      <c r="C10" s="1458"/>
      <c r="D10" s="1458"/>
      <c r="E10" s="1458"/>
      <c r="F10" s="1458"/>
      <c r="G10" s="1458" t="s">
        <v>789</v>
      </c>
      <c r="H10" s="1458"/>
      <c r="I10" s="1458"/>
      <c r="J10" s="1458"/>
      <c r="K10" s="1458"/>
      <c r="L10" s="1458"/>
      <c r="M10" s="1458" t="s">
        <v>789</v>
      </c>
      <c r="N10" s="1458"/>
      <c r="O10" s="1458"/>
      <c r="P10" s="1458"/>
      <c r="Q10" s="1458"/>
      <c r="R10" s="1459"/>
      <c r="S10" s="1460" t="s">
        <v>789</v>
      </c>
      <c r="T10" s="1458"/>
      <c r="U10" s="1458"/>
      <c r="V10" s="1458"/>
      <c r="W10" s="1458"/>
      <c r="X10" s="1458"/>
      <c r="Y10" s="1458" t="s">
        <v>789</v>
      </c>
      <c r="Z10" s="1458"/>
      <c r="AA10" s="1458"/>
      <c r="AB10" s="1458"/>
      <c r="AC10" s="1458"/>
      <c r="AD10" s="1458"/>
      <c r="AE10" s="1458" t="s">
        <v>789</v>
      </c>
      <c r="AF10" s="1458"/>
      <c r="AG10" s="1458"/>
      <c r="AH10" s="1458"/>
      <c r="AI10" s="1458"/>
      <c r="AJ10" s="1459"/>
      <c r="AK10" s="1460" t="s">
        <v>789</v>
      </c>
      <c r="AL10" s="1458"/>
      <c r="AM10" s="1458"/>
      <c r="AN10" s="1458"/>
      <c r="AO10" s="1458"/>
      <c r="AP10" s="1458"/>
      <c r="AQ10" s="1458" t="s">
        <v>789</v>
      </c>
      <c r="AR10" s="1458"/>
      <c r="AS10" s="1458"/>
      <c r="AT10" s="1458"/>
      <c r="AU10" s="1458"/>
      <c r="AV10" s="1458"/>
      <c r="AW10" s="1458" t="s">
        <v>789</v>
      </c>
      <c r="AX10" s="1458"/>
      <c r="AY10" s="1458"/>
      <c r="AZ10" s="1458"/>
      <c r="BA10" s="1458"/>
      <c r="BB10" s="1461"/>
    </row>
    <row r="11" spans="1:62" x14ac:dyDescent="0.25">
      <c r="A11" s="694" t="s">
        <v>790</v>
      </c>
      <c r="B11" s="115" t="s">
        <v>791</v>
      </c>
      <c r="C11" s="1443" t="s">
        <v>792</v>
      </c>
      <c r="D11" s="1444"/>
      <c r="E11" s="115" t="s">
        <v>793</v>
      </c>
      <c r="F11" s="115" t="s">
        <v>794</v>
      </c>
      <c r="G11" s="162" t="s">
        <v>790</v>
      </c>
      <c r="H11" s="162" t="s">
        <v>791</v>
      </c>
      <c r="I11" s="1455" t="s">
        <v>792</v>
      </c>
      <c r="J11" s="1456"/>
      <c r="K11" s="162" t="s">
        <v>793</v>
      </c>
      <c r="L11" s="162" t="s">
        <v>794</v>
      </c>
      <c r="M11" s="115" t="s">
        <v>790</v>
      </c>
      <c r="N11" s="115" t="s">
        <v>791</v>
      </c>
      <c r="O11" s="1443" t="s">
        <v>792</v>
      </c>
      <c r="P11" s="1444"/>
      <c r="Q11" s="115" t="s">
        <v>793</v>
      </c>
      <c r="R11" s="134" t="s">
        <v>794</v>
      </c>
      <c r="S11" s="161" t="s">
        <v>790</v>
      </c>
      <c r="T11" s="162" t="s">
        <v>791</v>
      </c>
      <c r="U11" s="1455" t="s">
        <v>792</v>
      </c>
      <c r="V11" s="1456"/>
      <c r="W11" s="162" t="s">
        <v>793</v>
      </c>
      <c r="X11" s="162" t="s">
        <v>794</v>
      </c>
      <c r="Y11" s="274" t="s">
        <v>790</v>
      </c>
      <c r="Z11" s="162" t="s">
        <v>791</v>
      </c>
      <c r="AA11" s="1455" t="s">
        <v>792</v>
      </c>
      <c r="AB11" s="1456"/>
      <c r="AC11" s="162" t="s">
        <v>793</v>
      </c>
      <c r="AD11" s="162" t="s">
        <v>794</v>
      </c>
      <c r="AE11" s="274" t="s">
        <v>790</v>
      </c>
      <c r="AF11" s="162" t="s">
        <v>791</v>
      </c>
      <c r="AG11" s="1455" t="s">
        <v>792</v>
      </c>
      <c r="AH11" s="1456"/>
      <c r="AI11" s="162" t="s">
        <v>793</v>
      </c>
      <c r="AJ11" s="362" t="s">
        <v>794</v>
      </c>
      <c r="AK11" s="694" t="s">
        <v>790</v>
      </c>
      <c r="AL11" s="115" t="s">
        <v>791</v>
      </c>
      <c r="AM11" s="1443" t="s">
        <v>792</v>
      </c>
      <c r="AN11" s="1444"/>
      <c r="AO11" s="115" t="s">
        <v>793</v>
      </c>
      <c r="AP11" s="115" t="s">
        <v>794</v>
      </c>
      <c r="AQ11" s="162" t="s">
        <v>790</v>
      </c>
      <c r="AR11" s="162" t="s">
        <v>791</v>
      </c>
      <c r="AS11" s="1455" t="s">
        <v>792</v>
      </c>
      <c r="AT11" s="1456"/>
      <c r="AU11" s="162" t="s">
        <v>793</v>
      </c>
      <c r="AV11" s="162" t="s">
        <v>794</v>
      </c>
      <c r="AW11" s="135" t="s">
        <v>790</v>
      </c>
      <c r="AX11" s="115" t="s">
        <v>791</v>
      </c>
      <c r="AY11" s="1443" t="s">
        <v>792</v>
      </c>
      <c r="AZ11" s="1444"/>
      <c r="BA11" s="115" t="s">
        <v>793</v>
      </c>
      <c r="BB11" s="114" t="s">
        <v>794</v>
      </c>
    </row>
    <row r="12" spans="1:62" ht="15" customHeight="1" x14ac:dyDescent="0.25">
      <c r="A12" s="267">
        <v>1</v>
      </c>
      <c r="B12" s="493"/>
      <c r="C12" s="1420"/>
      <c r="D12" s="1420"/>
      <c r="E12" s="494"/>
      <c r="F12" s="495"/>
      <c r="G12" s="197">
        <v>1</v>
      </c>
      <c r="H12" s="493"/>
      <c r="I12" s="1420"/>
      <c r="J12" s="1420"/>
      <c r="K12" s="494"/>
      <c r="L12" s="495"/>
      <c r="M12" s="410">
        <v>1</v>
      </c>
      <c r="N12" s="493"/>
      <c r="O12" s="1420"/>
      <c r="P12" s="1420"/>
      <c r="Q12" s="494"/>
      <c r="R12" s="501"/>
      <c r="S12" s="250">
        <v>1</v>
      </c>
      <c r="T12" s="493"/>
      <c r="U12" s="1420"/>
      <c r="V12" s="1420"/>
      <c r="W12" s="494"/>
      <c r="X12" s="495"/>
      <c r="Y12" s="197">
        <v>1</v>
      </c>
      <c r="Z12" s="493"/>
      <c r="AA12" s="1420"/>
      <c r="AB12" s="1420"/>
      <c r="AC12" s="494"/>
      <c r="AD12" s="495"/>
      <c r="AE12" s="197">
        <v>1</v>
      </c>
      <c r="AF12" s="493"/>
      <c r="AG12" s="1420"/>
      <c r="AH12" s="1420"/>
      <c r="AI12" s="494"/>
      <c r="AJ12" s="501"/>
      <c r="AK12" s="267">
        <v>1</v>
      </c>
      <c r="AL12" s="493"/>
      <c r="AM12" s="1420"/>
      <c r="AN12" s="1420"/>
      <c r="AO12" s="494"/>
      <c r="AP12" s="495"/>
      <c r="AQ12" s="197">
        <v>1</v>
      </c>
      <c r="AR12" s="493"/>
      <c r="AS12" s="1420"/>
      <c r="AT12" s="1420"/>
      <c r="AU12" s="494"/>
      <c r="AV12" s="495"/>
      <c r="AW12" s="410">
        <v>1</v>
      </c>
      <c r="AX12" s="493"/>
      <c r="AY12" s="1420"/>
      <c r="AZ12" s="1420"/>
      <c r="BA12" s="494"/>
      <c r="BB12" s="504"/>
    </row>
    <row r="13" spans="1:62" ht="15" customHeight="1" x14ac:dyDescent="0.25">
      <c r="A13" s="267">
        <v>2</v>
      </c>
      <c r="B13" s="493"/>
      <c r="C13" s="1420"/>
      <c r="D13" s="1420"/>
      <c r="E13" s="494"/>
      <c r="F13" s="495"/>
      <c r="G13" s="197">
        <v>2</v>
      </c>
      <c r="H13" s="493"/>
      <c r="I13" s="1420"/>
      <c r="J13" s="1420"/>
      <c r="K13" s="494"/>
      <c r="L13" s="495"/>
      <c r="M13" s="410">
        <v>2</v>
      </c>
      <c r="N13" s="493"/>
      <c r="O13" s="1420"/>
      <c r="P13" s="1420"/>
      <c r="Q13" s="494"/>
      <c r="R13" s="501"/>
      <c r="S13" s="250">
        <v>2</v>
      </c>
      <c r="T13" s="493"/>
      <c r="U13" s="1420"/>
      <c r="V13" s="1420"/>
      <c r="W13" s="494"/>
      <c r="X13" s="495"/>
      <c r="Y13" s="197">
        <v>2</v>
      </c>
      <c r="Z13" s="493"/>
      <c r="AA13" s="1420"/>
      <c r="AB13" s="1420"/>
      <c r="AC13" s="494"/>
      <c r="AD13" s="495"/>
      <c r="AE13" s="197">
        <v>2</v>
      </c>
      <c r="AF13" s="493"/>
      <c r="AG13" s="1420"/>
      <c r="AH13" s="1420"/>
      <c r="AI13" s="494"/>
      <c r="AJ13" s="501"/>
      <c r="AK13" s="267">
        <v>2</v>
      </c>
      <c r="AL13" s="493"/>
      <c r="AM13" s="1420"/>
      <c r="AN13" s="1420"/>
      <c r="AO13" s="494"/>
      <c r="AP13" s="495"/>
      <c r="AQ13" s="197">
        <v>2</v>
      </c>
      <c r="AR13" s="493"/>
      <c r="AS13" s="1420"/>
      <c r="AT13" s="1420"/>
      <c r="AU13" s="494"/>
      <c r="AV13" s="495"/>
      <c r="AW13" s="410">
        <v>2</v>
      </c>
      <c r="AX13" s="493"/>
      <c r="AY13" s="1420"/>
      <c r="AZ13" s="1420"/>
      <c r="BA13" s="494"/>
      <c r="BB13" s="504"/>
    </row>
    <row r="14" spans="1:62" ht="15" customHeight="1" x14ac:dyDescent="0.25">
      <c r="A14" s="267">
        <v>3</v>
      </c>
      <c r="B14" s="493"/>
      <c r="C14" s="1420"/>
      <c r="D14" s="1420"/>
      <c r="E14" s="494"/>
      <c r="F14" s="495"/>
      <c r="G14" s="197">
        <v>3</v>
      </c>
      <c r="H14" s="493"/>
      <c r="I14" s="1420"/>
      <c r="J14" s="1420"/>
      <c r="K14" s="494"/>
      <c r="L14" s="495"/>
      <c r="M14" s="410">
        <v>3</v>
      </c>
      <c r="N14" s="493"/>
      <c r="O14" s="1420"/>
      <c r="P14" s="1420"/>
      <c r="Q14" s="494"/>
      <c r="R14" s="501"/>
      <c r="S14" s="250">
        <v>3</v>
      </c>
      <c r="T14" s="493"/>
      <c r="U14" s="1420"/>
      <c r="V14" s="1420"/>
      <c r="W14" s="494"/>
      <c r="X14" s="495"/>
      <c r="Y14" s="197">
        <v>3</v>
      </c>
      <c r="Z14" s="493"/>
      <c r="AA14" s="1420"/>
      <c r="AB14" s="1420"/>
      <c r="AC14" s="494"/>
      <c r="AD14" s="495"/>
      <c r="AE14" s="197">
        <v>3</v>
      </c>
      <c r="AF14" s="493"/>
      <c r="AG14" s="1420"/>
      <c r="AH14" s="1420"/>
      <c r="AI14" s="494"/>
      <c r="AJ14" s="501"/>
      <c r="AK14" s="267">
        <v>3</v>
      </c>
      <c r="AL14" s="493"/>
      <c r="AM14" s="1420"/>
      <c r="AN14" s="1420"/>
      <c r="AO14" s="494"/>
      <c r="AP14" s="495"/>
      <c r="AQ14" s="197">
        <v>3</v>
      </c>
      <c r="AR14" s="493"/>
      <c r="AS14" s="1420"/>
      <c r="AT14" s="1420"/>
      <c r="AU14" s="494"/>
      <c r="AV14" s="495"/>
      <c r="AW14" s="410">
        <v>3</v>
      </c>
      <c r="AX14" s="493"/>
      <c r="AY14" s="1420"/>
      <c r="AZ14" s="1420"/>
      <c r="BA14" s="494"/>
      <c r="BB14" s="504"/>
    </row>
    <row r="15" spans="1:62" x14ac:dyDescent="0.25">
      <c r="A15" s="267">
        <v>4</v>
      </c>
      <c r="B15" s="493"/>
      <c r="C15" s="1420"/>
      <c r="D15" s="1420"/>
      <c r="E15" s="494"/>
      <c r="F15" s="495"/>
      <c r="G15" s="197">
        <v>4</v>
      </c>
      <c r="H15" s="493"/>
      <c r="I15" s="1420"/>
      <c r="J15" s="1420"/>
      <c r="K15" s="494"/>
      <c r="L15" s="495"/>
      <c r="M15" s="410">
        <v>4</v>
      </c>
      <c r="N15" s="493"/>
      <c r="O15" s="1420"/>
      <c r="P15" s="1420"/>
      <c r="Q15" s="494"/>
      <c r="R15" s="501"/>
      <c r="S15" s="250">
        <v>4</v>
      </c>
      <c r="T15" s="493"/>
      <c r="U15" s="1420"/>
      <c r="V15" s="1420"/>
      <c r="W15" s="494"/>
      <c r="X15" s="495"/>
      <c r="Y15" s="197">
        <v>4</v>
      </c>
      <c r="Z15" s="493"/>
      <c r="AA15" s="1420"/>
      <c r="AB15" s="1420"/>
      <c r="AC15" s="494"/>
      <c r="AD15" s="495"/>
      <c r="AE15" s="197">
        <v>4</v>
      </c>
      <c r="AF15" s="493"/>
      <c r="AG15" s="1420"/>
      <c r="AH15" s="1420"/>
      <c r="AI15" s="494"/>
      <c r="AJ15" s="501"/>
      <c r="AK15" s="267">
        <v>4</v>
      </c>
      <c r="AL15" s="493"/>
      <c r="AM15" s="1420"/>
      <c r="AN15" s="1420"/>
      <c r="AO15" s="494"/>
      <c r="AP15" s="495"/>
      <c r="AQ15" s="197">
        <v>4</v>
      </c>
      <c r="AR15" s="493"/>
      <c r="AS15" s="1420"/>
      <c r="AT15" s="1420"/>
      <c r="AU15" s="494"/>
      <c r="AV15" s="495"/>
      <c r="AW15" s="410">
        <v>4</v>
      </c>
      <c r="AX15" s="493"/>
      <c r="AY15" s="1420"/>
      <c r="AZ15" s="1420"/>
      <c r="BA15" s="494"/>
      <c r="BB15" s="504"/>
    </row>
    <row r="16" spans="1:62" x14ac:dyDescent="0.25">
      <c r="A16" s="267">
        <v>5</v>
      </c>
      <c r="B16" s="493"/>
      <c r="C16" s="1420"/>
      <c r="D16" s="1420"/>
      <c r="E16" s="494"/>
      <c r="F16" s="495"/>
      <c r="G16" s="197">
        <v>5</v>
      </c>
      <c r="H16" s="493"/>
      <c r="I16" s="1420"/>
      <c r="J16" s="1420"/>
      <c r="K16" s="494"/>
      <c r="L16" s="495"/>
      <c r="M16" s="410">
        <v>5</v>
      </c>
      <c r="N16" s="493"/>
      <c r="O16" s="1420"/>
      <c r="P16" s="1420"/>
      <c r="Q16" s="494"/>
      <c r="R16" s="501"/>
      <c r="S16" s="250">
        <v>5</v>
      </c>
      <c r="T16" s="493"/>
      <c r="U16" s="1420"/>
      <c r="V16" s="1420"/>
      <c r="W16" s="494"/>
      <c r="X16" s="495"/>
      <c r="Y16" s="197">
        <v>5</v>
      </c>
      <c r="Z16" s="493"/>
      <c r="AA16" s="1420"/>
      <c r="AB16" s="1420"/>
      <c r="AC16" s="494"/>
      <c r="AD16" s="495"/>
      <c r="AE16" s="197">
        <v>5</v>
      </c>
      <c r="AF16" s="493"/>
      <c r="AG16" s="1420"/>
      <c r="AH16" s="1420"/>
      <c r="AI16" s="494"/>
      <c r="AJ16" s="501"/>
      <c r="AK16" s="267">
        <v>5</v>
      </c>
      <c r="AL16" s="493"/>
      <c r="AM16" s="1420"/>
      <c r="AN16" s="1420"/>
      <c r="AO16" s="494"/>
      <c r="AP16" s="495"/>
      <c r="AQ16" s="197">
        <v>5</v>
      </c>
      <c r="AR16" s="493"/>
      <c r="AS16" s="1420"/>
      <c r="AT16" s="1420"/>
      <c r="AU16" s="494"/>
      <c r="AV16" s="495"/>
      <c r="AW16" s="410">
        <v>5</v>
      </c>
      <c r="AX16" s="493"/>
      <c r="AY16" s="1420"/>
      <c r="AZ16" s="1420"/>
      <c r="BA16" s="494"/>
      <c r="BB16" s="504"/>
    </row>
    <row r="17" spans="1:54" ht="15" customHeight="1" x14ac:dyDescent="0.25">
      <c r="A17" s="267">
        <v>6</v>
      </c>
      <c r="B17" s="493"/>
      <c r="C17" s="1420"/>
      <c r="D17" s="1420"/>
      <c r="E17" s="494"/>
      <c r="F17" s="495"/>
      <c r="G17" s="197">
        <v>6</v>
      </c>
      <c r="H17" s="493"/>
      <c r="I17" s="1420"/>
      <c r="J17" s="1420"/>
      <c r="K17" s="494"/>
      <c r="L17" s="495"/>
      <c r="M17" s="410">
        <v>6</v>
      </c>
      <c r="N17" s="493"/>
      <c r="O17" s="1420"/>
      <c r="P17" s="1420"/>
      <c r="Q17" s="494"/>
      <c r="R17" s="501"/>
      <c r="S17" s="250">
        <v>6</v>
      </c>
      <c r="T17" s="493"/>
      <c r="U17" s="1420"/>
      <c r="V17" s="1420"/>
      <c r="W17" s="494"/>
      <c r="X17" s="495"/>
      <c r="Y17" s="197">
        <v>6</v>
      </c>
      <c r="Z17" s="493"/>
      <c r="AA17" s="1420"/>
      <c r="AB17" s="1420"/>
      <c r="AC17" s="494"/>
      <c r="AD17" s="495"/>
      <c r="AE17" s="197">
        <v>6</v>
      </c>
      <c r="AF17" s="493"/>
      <c r="AG17" s="1420"/>
      <c r="AH17" s="1420"/>
      <c r="AI17" s="494"/>
      <c r="AJ17" s="501"/>
      <c r="AK17" s="267">
        <v>6</v>
      </c>
      <c r="AL17" s="493"/>
      <c r="AM17" s="1420"/>
      <c r="AN17" s="1420"/>
      <c r="AO17" s="494"/>
      <c r="AP17" s="495"/>
      <c r="AQ17" s="197">
        <v>6</v>
      </c>
      <c r="AR17" s="493"/>
      <c r="AS17" s="1420"/>
      <c r="AT17" s="1420"/>
      <c r="AU17" s="494"/>
      <c r="AV17" s="495"/>
      <c r="AW17" s="410">
        <v>6</v>
      </c>
      <c r="AX17" s="493"/>
      <c r="AY17" s="1420"/>
      <c r="AZ17" s="1420"/>
      <c r="BA17" s="494"/>
      <c r="BB17" s="504"/>
    </row>
    <row r="18" spans="1:54" ht="15" customHeight="1" x14ac:dyDescent="0.25">
      <c r="A18" s="267">
        <v>7</v>
      </c>
      <c r="B18" s="493"/>
      <c r="C18" s="1420"/>
      <c r="D18" s="1420"/>
      <c r="E18" s="494"/>
      <c r="F18" s="495"/>
      <c r="G18" s="197">
        <v>7</v>
      </c>
      <c r="H18" s="493"/>
      <c r="I18" s="1420"/>
      <c r="J18" s="1420"/>
      <c r="K18" s="494"/>
      <c r="L18" s="495"/>
      <c r="M18" s="410">
        <v>7</v>
      </c>
      <c r="N18" s="493"/>
      <c r="O18" s="1420"/>
      <c r="P18" s="1420"/>
      <c r="Q18" s="494"/>
      <c r="R18" s="501"/>
      <c r="S18" s="250">
        <v>7</v>
      </c>
      <c r="T18" s="493"/>
      <c r="U18" s="1420"/>
      <c r="V18" s="1420"/>
      <c r="W18" s="494"/>
      <c r="X18" s="495"/>
      <c r="Y18" s="197">
        <v>7</v>
      </c>
      <c r="Z18" s="493"/>
      <c r="AA18" s="1420"/>
      <c r="AB18" s="1420"/>
      <c r="AC18" s="494"/>
      <c r="AD18" s="495"/>
      <c r="AE18" s="197">
        <v>7</v>
      </c>
      <c r="AF18" s="493"/>
      <c r="AG18" s="1420"/>
      <c r="AH18" s="1420"/>
      <c r="AI18" s="494"/>
      <c r="AJ18" s="501"/>
      <c r="AK18" s="267">
        <v>7</v>
      </c>
      <c r="AL18" s="493"/>
      <c r="AM18" s="1420"/>
      <c r="AN18" s="1420"/>
      <c r="AO18" s="494"/>
      <c r="AP18" s="495"/>
      <c r="AQ18" s="197">
        <v>7</v>
      </c>
      <c r="AR18" s="493"/>
      <c r="AS18" s="1420"/>
      <c r="AT18" s="1420"/>
      <c r="AU18" s="494"/>
      <c r="AV18" s="495"/>
      <c r="AW18" s="410">
        <v>7</v>
      </c>
      <c r="AX18" s="493"/>
      <c r="AY18" s="1420"/>
      <c r="AZ18" s="1420"/>
      <c r="BA18" s="494"/>
      <c r="BB18" s="504"/>
    </row>
    <row r="19" spans="1:54" ht="15" customHeight="1" x14ac:dyDescent="0.25">
      <c r="A19" s="267">
        <v>8</v>
      </c>
      <c r="B19" s="493"/>
      <c r="C19" s="1420"/>
      <c r="D19" s="1420"/>
      <c r="E19" s="494"/>
      <c r="F19" s="495"/>
      <c r="G19" s="197">
        <v>8</v>
      </c>
      <c r="H19" s="493"/>
      <c r="I19" s="1420"/>
      <c r="J19" s="1420"/>
      <c r="K19" s="494"/>
      <c r="L19" s="495"/>
      <c r="M19" s="410">
        <v>8</v>
      </c>
      <c r="N19" s="493"/>
      <c r="O19" s="1420"/>
      <c r="P19" s="1420"/>
      <c r="Q19" s="494"/>
      <c r="R19" s="501"/>
      <c r="S19" s="250">
        <v>8</v>
      </c>
      <c r="T19" s="493"/>
      <c r="U19" s="1420"/>
      <c r="V19" s="1420"/>
      <c r="W19" s="494"/>
      <c r="X19" s="495"/>
      <c r="Y19" s="197">
        <v>8</v>
      </c>
      <c r="Z19" s="493"/>
      <c r="AA19" s="1420"/>
      <c r="AB19" s="1420"/>
      <c r="AC19" s="494"/>
      <c r="AD19" s="495"/>
      <c r="AE19" s="197">
        <v>8</v>
      </c>
      <c r="AF19" s="493"/>
      <c r="AG19" s="1420"/>
      <c r="AH19" s="1420"/>
      <c r="AI19" s="494"/>
      <c r="AJ19" s="501"/>
      <c r="AK19" s="267">
        <v>8</v>
      </c>
      <c r="AL19" s="493"/>
      <c r="AM19" s="1420"/>
      <c r="AN19" s="1420"/>
      <c r="AO19" s="494"/>
      <c r="AP19" s="495"/>
      <c r="AQ19" s="197">
        <v>8</v>
      </c>
      <c r="AR19" s="493"/>
      <c r="AS19" s="1420"/>
      <c r="AT19" s="1420"/>
      <c r="AU19" s="494"/>
      <c r="AV19" s="495"/>
      <c r="AW19" s="410">
        <v>8</v>
      </c>
      <c r="AX19" s="493"/>
      <c r="AY19" s="1420"/>
      <c r="AZ19" s="1420"/>
      <c r="BA19" s="494"/>
      <c r="BB19" s="504"/>
    </row>
    <row r="20" spans="1:54" x14ac:dyDescent="0.25">
      <c r="A20" s="267">
        <v>9</v>
      </c>
      <c r="B20" s="493"/>
      <c r="C20" s="1420"/>
      <c r="D20" s="1420"/>
      <c r="E20" s="494"/>
      <c r="F20" s="495"/>
      <c r="G20" s="197">
        <v>9</v>
      </c>
      <c r="H20" s="493"/>
      <c r="I20" s="1420"/>
      <c r="J20" s="1420"/>
      <c r="K20" s="494"/>
      <c r="L20" s="495"/>
      <c r="M20" s="410">
        <v>9</v>
      </c>
      <c r="N20" s="493"/>
      <c r="O20" s="1420"/>
      <c r="P20" s="1420"/>
      <c r="Q20" s="494"/>
      <c r="R20" s="501"/>
      <c r="S20" s="250">
        <v>9</v>
      </c>
      <c r="T20" s="493"/>
      <c r="U20" s="1420"/>
      <c r="V20" s="1420"/>
      <c r="W20" s="494"/>
      <c r="X20" s="495"/>
      <c r="Y20" s="197">
        <v>9</v>
      </c>
      <c r="Z20" s="493"/>
      <c r="AA20" s="1420"/>
      <c r="AB20" s="1420"/>
      <c r="AC20" s="494"/>
      <c r="AD20" s="495"/>
      <c r="AE20" s="197">
        <v>9</v>
      </c>
      <c r="AF20" s="493"/>
      <c r="AG20" s="1420"/>
      <c r="AH20" s="1420"/>
      <c r="AI20" s="494"/>
      <c r="AJ20" s="501"/>
      <c r="AK20" s="267">
        <v>9</v>
      </c>
      <c r="AL20" s="493"/>
      <c r="AM20" s="1420"/>
      <c r="AN20" s="1420"/>
      <c r="AO20" s="494"/>
      <c r="AP20" s="495"/>
      <c r="AQ20" s="197">
        <v>9</v>
      </c>
      <c r="AR20" s="493"/>
      <c r="AS20" s="1420"/>
      <c r="AT20" s="1420"/>
      <c r="AU20" s="494"/>
      <c r="AV20" s="495"/>
      <c r="AW20" s="410">
        <v>9</v>
      </c>
      <c r="AX20" s="493"/>
      <c r="AY20" s="1420"/>
      <c r="AZ20" s="1420"/>
      <c r="BA20" s="494"/>
      <c r="BB20" s="504"/>
    </row>
    <row r="21" spans="1:54" x14ac:dyDescent="0.25">
      <c r="A21" s="267">
        <v>10</v>
      </c>
      <c r="B21" s="493"/>
      <c r="C21" s="1420"/>
      <c r="D21" s="1420"/>
      <c r="E21" s="494"/>
      <c r="F21" s="495"/>
      <c r="G21" s="197">
        <v>10</v>
      </c>
      <c r="H21" s="493"/>
      <c r="I21" s="1420"/>
      <c r="J21" s="1420"/>
      <c r="K21" s="494"/>
      <c r="L21" s="495"/>
      <c r="M21" s="410">
        <v>10</v>
      </c>
      <c r="N21" s="493"/>
      <c r="O21" s="1420"/>
      <c r="P21" s="1420"/>
      <c r="Q21" s="494"/>
      <c r="R21" s="501"/>
      <c r="S21" s="250">
        <v>10</v>
      </c>
      <c r="T21" s="493"/>
      <c r="U21" s="1420"/>
      <c r="V21" s="1420"/>
      <c r="W21" s="494"/>
      <c r="X21" s="495"/>
      <c r="Y21" s="197">
        <v>10</v>
      </c>
      <c r="Z21" s="493"/>
      <c r="AA21" s="1420"/>
      <c r="AB21" s="1420"/>
      <c r="AC21" s="494"/>
      <c r="AD21" s="495"/>
      <c r="AE21" s="197">
        <v>10</v>
      </c>
      <c r="AF21" s="493"/>
      <c r="AG21" s="1420"/>
      <c r="AH21" s="1420"/>
      <c r="AI21" s="494"/>
      <c r="AJ21" s="501"/>
      <c r="AK21" s="267">
        <v>10</v>
      </c>
      <c r="AL21" s="493"/>
      <c r="AM21" s="1420"/>
      <c r="AN21" s="1420"/>
      <c r="AO21" s="494"/>
      <c r="AP21" s="495"/>
      <c r="AQ21" s="197">
        <v>10</v>
      </c>
      <c r="AR21" s="493"/>
      <c r="AS21" s="1420"/>
      <c r="AT21" s="1420"/>
      <c r="AU21" s="494"/>
      <c r="AV21" s="495"/>
      <c r="AW21" s="410">
        <v>10</v>
      </c>
      <c r="AX21" s="493"/>
      <c r="AY21" s="1420"/>
      <c r="AZ21" s="1420"/>
      <c r="BA21" s="494"/>
      <c r="BB21" s="504"/>
    </row>
    <row r="22" spans="1:54" x14ac:dyDescent="0.25">
      <c r="A22" s="267">
        <v>11</v>
      </c>
      <c r="B22" s="493"/>
      <c r="C22" s="1420"/>
      <c r="D22" s="1420"/>
      <c r="E22" s="494"/>
      <c r="F22" s="495"/>
      <c r="G22" s="197">
        <v>11</v>
      </c>
      <c r="H22" s="493"/>
      <c r="I22" s="1420"/>
      <c r="J22" s="1420"/>
      <c r="K22" s="494"/>
      <c r="L22" s="495"/>
      <c r="M22" s="410">
        <v>11</v>
      </c>
      <c r="N22" s="493"/>
      <c r="O22" s="1420"/>
      <c r="P22" s="1420"/>
      <c r="Q22" s="494"/>
      <c r="R22" s="501"/>
      <c r="S22" s="250">
        <v>11</v>
      </c>
      <c r="T22" s="493"/>
      <c r="U22" s="1420"/>
      <c r="V22" s="1420"/>
      <c r="W22" s="494"/>
      <c r="X22" s="495"/>
      <c r="Y22" s="197">
        <v>11</v>
      </c>
      <c r="Z22" s="493"/>
      <c r="AA22" s="1420"/>
      <c r="AB22" s="1420"/>
      <c r="AC22" s="494"/>
      <c r="AD22" s="495"/>
      <c r="AE22" s="197">
        <v>11</v>
      </c>
      <c r="AF22" s="493"/>
      <c r="AG22" s="1420"/>
      <c r="AH22" s="1420"/>
      <c r="AI22" s="494"/>
      <c r="AJ22" s="501"/>
      <c r="AK22" s="267">
        <v>11</v>
      </c>
      <c r="AL22" s="493"/>
      <c r="AM22" s="1420"/>
      <c r="AN22" s="1420"/>
      <c r="AO22" s="494"/>
      <c r="AP22" s="495"/>
      <c r="AQ22" s="197">
        <v>11</v>
      </c>
      <c r="AR22" s="493"/>
      <c r="AS22" s="1420"/>
      <c r="AT22" s="1420"/>
      <c r="AU22" s="494"/>
      <c r="AV22" s="495"/>
      <c r="AW22" s="410">
        <v>11</v>
      </c>
      <c r="AX22" s="493"/>
      <c r="AY22" s="1420"/>
      <c r="AZ22" s="1420"/>
      <c r="BA22" s="494"/>
      <c r="BB22" s="504"/>
    </row>
    <row r="23" spans="1:54" x14ac:dyDescent="0.25">
      <c r="A23" s="267">
        <v>12</v>
      </c>
      <c r="B23" s="493"/>
      <c r="C23" s="1420"/>
      <c r="D23" s="1420"/>
      <c r="E23" s="494"/>
      <c r="F23" s="495"/>
      <c r="G23" s="197">
        <v>12</v>
      </c>
      <c r="H23" s="493"/>
      <c r="I23" s="1420"/>
      <c r="J23" s="1420"/>
      <c r="K23" s="494"/>
      <c r="L23" s="495"/>
      <c r="M23" s="410">
        <v>12</v>
      </c>
      <c r="N23" s="493"/>
      <c r="O23" s="1420"/>
      <c r="P23" s="1420"/>
      <c r="Q23" s="494"/>
      <c r="R23" s="501"/>
      <c r="S23" s="250">
        <v>12</v>
      </c>
      <c r="T23" s="493"/>
      <c r="U23" s="1420"/>
      <c r="V23" s="1420"/>
      <c r="W23" s="494"/>
      <c r="X23" s="495"/>
      <c r="Y23" s="197">
        <v>12</v>
      </c>
      <c r="Z23" s="493"/>
      <c r="AA23" s="1420"/>
      <c r="AB23" s="1420"/>
      <c r="AC23" s="494"/>
      <c r="AD23" s="495"/>
      <c r="AE23" s="197">
        <v>12</v>
      </c>
      <c r="AF23" s="493"/>
      <c r="AG23" s="1420"/>
      <c r="AH23" s="1420"/>
      <c r="AI23" s="494"/>
      <c r="AJ23" s="501"/>
      <c r="AK23" s="267">
        <v>12</v>
      </c>
      <c r="AL23" s="493"/>
      <c r="AM23" s="1420"/>
      <c r="AN23" s="1420"/>
      <c r="AO23" s="494"/>
      <c r="AP23" s="495"/>
      <c r="AQ23" s="197">
        <v>12</v>
      </c>
      <c r="AR23" s="493"/>
      <c r="AS23" s="1420"/>
      <c r="AT23" s="1420"/>
      <c r="AU23" s="494"/>
      <c r="AV23" s="495"/>
      <c r="AW23" s="410">
        <v>12</v>
      </c>
      <c r="AX23" s="493"/>
      <c r="AY23" s="1420"/>
      <c r="AZ23" s="1420"/>
      <c r="BA23" s="494"/>
      <c r="BB23" s="504"/>
    </row>
    <row r="24" spans="1:54" x14ac:dyDescent="0.25">
      <c r="A24" s="267">
        <v>13</v>
      </c>
      <c r="B24" s="493"/>
      <c r="C24" s="1420"/>
      <c r="D24" s="1420"/>
      <c r="E24" s="494"/>
      <c r="F24" s="495"/>
      <c r="G24" s="197">
        <v>13</v>
      </c>
      <c r="H24" s="493"/>
      <c r="I24" s="1420"/>
      <c r="J24" s="1420"/>
      <c r="K24" s="494"/>
      <c r="L24" s="495"/>
      <c r="M24" s="410">
        <v>13</v>
      </c>
      <c r="N24" s="493"/>
      <c r="O24" s="1420"/>
      <c r="P24" s="1420"/>
      <c r="Q24" s="494"/>
      <c r="R24" s="501"/>
      <c r="S24" s="250">
        <v>13</v>
      </c>
      <c r="T24" s="493"/>
      <c r="U24" s="1420"/>
      <c r="V24" s="1420"/>
      <c r="W24" s="494"/>
      <c r="X24" s="495"/>
      <c r="Y24" s="197">
        <v>13</v>
      </c>
      <c r="Z24" s="493"/>
      <c r="AA24" s="1420"/>
      <c r="AB24" s="1420"/>
      <c r="AC24" s="494"/>
      <c r="AD24" s="495"/>
      <c r="AE24" s="197">
        <v>13</v>
      </c>
      <c r="AF24" s="493"/>
      <c r="AG24" s="1420"/>
      <c r="AH24" s="1420"/>
      <c r="AI24" s="494"/>
      <c r="AJ24" s="501"/>
      <c r="AK24" s="267">
        <v>13</v>
      </c>
      <c r="AL24" s="493"/>
      <c r="AM24" s="1420"/>
      <c r="AN24" s="1420"/>
      <c r="AO24" s="494"/>
      <c r="AP24" s="495"/>
      <c r="AQ24" s="197">
        <v>13</v>
      </c>
      <c r="AR24" s="493"/>
      <c r="AS24" s="1420"/>
      <c r="AT24" s="1420"/>
      <c r="AU24" s="494"/>
      <c r="AV24" s="495"/>
      <c r="AW24" s="410">
        <v>13</v>
      </c>
      <c r="AX24" s="493"/>
      <c r="AY24" s="1420"/>
      <c r="AZ24" s="1420"/>
      <c r="BA24" s="494"/>
      <c r="BB24" s="504"/>
    </row>
    <row r="25" spans="1:54" x14ac:dyDescent="0.25">
      <c r="A25" s="267">
        <v>14</v>
      </c>
      <c r="B25" s="493"/>
      <c r="C25" s="1420"/>
      <c r="D25" s="1420"/>
      <c r="E25" s="494"/>
      <c r="F25" s="495"/>
      <c r="G25" s="197">
        <v>14</v>
      </c>
      <c r="H25" s="493"/>
      <c r="I25" s="1420"/>
      <c r="J25" s="1420"/>
      <c r="K25" s="494"/>
      <c r="L25" s="495"/>
      <c r="M25" s="410">
        <v>14</v>
      </c>
      <c r="N25" s="493"/>
      <c r="O25" s="1420"/>
      <c r="P25" s="1420"/>
      <c r="Q25" s="494"/>
      <c r="R25" s="501"/>
      <c r="S25" s="250">
        <v>14</v>
      </c>
      <c r="T25" s="493"/>
      <c r="U25" s="1420"/>
      <c r="V25" s="1420"/>
      <c r="W25" s="494"/>
      <c r="X25" s="495"/>
      <c r="Y25" s="197">
        <v>14</v>
      </c>
      <c r="Z25" s="493"/>
      <c r="AA25" s="1420"/>
      <c r="AB25" s="1420"/>
      <c r="AC25" s="494"/>
      <c r="AD25" s="495"/>
      <c r="AE25" s="197">
        <v>14</v>
      </c>
      <c r="AF25" s="493"/>
      <c r="AG25" s="1420"/>
      <c r="AH25" s="1420"/>
      <c r="AI25" s="494"/>
      <c r="AJ25" s="501"/>
      <c r="AK25" s="267">
        <v>14</v>
      </c>
      <c r="AL25" s="493"/>
      <c r="AM25" s="1420"/>
      <c r="AN25" s="1420"/>
      <c r="AO25" s="494"/>
      <c r="AP25" s="495"/>
      <c r="AQ25" s="197">
        <v>14</v>
      </c>
      <c r="AR25" s="493"/>
      <c r="AS25" s="1420"/>
      <c r="AT25" s="1420"/>
      <c r="AU25" s="494"/>
      <c r="AV25" s="495"/>
      <c r="AW25" s="410">
        <v>14</v>
      </c>
      <c r="AX25" s="493"/>
      <c r="AY25" s="1420"/>
      <c r="AZ25" s="1420"/>
      <c r="BA25" s="494"/>
      <c r="BB25" s="504"/>
    </row>
    <row r="26" spans="1:54" x14ac:dyDescent="0.25">
      <c r="A26" s="267">
        <v>15</v>
      </c>
      <c r="B26" s="493"/>
      <c r="C26" s="1420"/>
      <c r="D26" s="1420"/>
      <c r="E26" s="494"/>
      <c r="F26" s="495"/>
      <c r="G26" s="197">
        <v>15</v>
      </c>
      <c r="H26" s="493"/>
      <c r="I26" s="1420"/>
      <c r="J26" s="1420"/>
      <c r="K26" s="494"/>
      <c r="L26" s="495"/>
      <c r="M26" s="410">
        <v>15</v>
      </c>
      <c r="N26" s="493"/>
      <c r="O26" s="1420"/>
      <c r="P26" s="1420"/>
      <c r="Q26" s="494"/>
      <c r="R26" s="501"/>
      <c r="S26" s="250">
        <v>15</v>
      </c>
      <c r="T26" s="493"/>
      <c r="U26" s="1420"/>
      <c r="V26" s="1420"/>
      <c r="W26" s="494"/>
      <c r="X26" s="495"/>
      <c r="Y26" s="197">
        <v>15</v>
      </c>
      <c r="Z26" s="493"/>
      <c r="AA26" s="1420"/>
      <c r="AB26" s="1420"/>
      <c r="AC26" s="494"/>
      <c r="AD26" s="495"/>
      <c r="AE26" s="197">
        <v>15</v>
      </c>
      <c r="AF26" s="493"/>
      <c r="AG26" s="1420"/>
      <c r="AH26" s="1420"/>
      <c r="AI26" s="494"/>
      <c r="AJ26" s="501"/>
      <c r="AK26" s="267">
        <v>15</v>
      </c>
      <c r="AL26" s="493"/>
      <c r="AM26" s="1420"/>
      <c r="AN26" s="1420"/>
      <c r="AO26" s="494"/>
      <c r="AP26" s="495"/>
      <c r="AQ26" s="197">
        <v>15</v>
      </c>
      <c r="AR26" s="493"/>
      <c r="AS26" s="1420"/>
      <c r="AT26" s="1420"/>
      <c r="AU26" s="494"/>
      <c r="AV26" s="495"/>
      <c r="AW26" s="410">
        <v>15</v>
      </c>
      <c r="AX26" s="493"/>
      <c r="AY26" s="1420"/>
      <c r="AZ26" s="1420"/>
      <c r="BA26" s="494"/>
      <c r="BB26" s="504"/>
    </row>
    <row r="27" spans="1:54" x14ac:dyDescent="0.25">
      <c r="A27" s="267">
        <v>16</v>
      </c>
      <c r="B27" s="493"/>
      <c r="C27" s="1420"/>
      <c r="D27" s="1420"/>
      <c r="E27" s="494"/>
      <c r="F27" s="495"/>
      <c r="G27" s="197">
        <v>16</v>
      </c>
      <c r="H27" s="493"/>
      <c r="I27" s="1420"/>
      <c r="J27" s="1420"/>
      <c r="K27" s="494"/>
      <c r="L27" s="495"/>
      <c r="M27" s="410">
        <v>16</v>
      </c>
      <c r="N27" s="493"/>
      <c r="O27" s="1420"/>
      <c r="P27" s="1420"/>
      <c r="Q27" s="494"/>
      <c r="R27" s="501"/>
      <c r="S27" s="250">
        <v>16</v>
      </c>
      <c r="T27" s="493"/>
      <c r="U27" s="1420"/>
      <c r="V27" s="1420"/>
      <c r="W27" s="494"/>
      <c r="X27" s="495"/>
      <c r="Y27" s="197">
        <v>16</v>
      </c>
      <c r="Z27" s="493"/>
      <c r="AA27" s="1420"/>
      <c r="AB27" s="1420"/>
      <c r="AC27" s="494"/>
      <c r="AD27" s="495"/>
      <c r="AE27" s="197">
        <v>16</v>
      </c>
      <c r="AF27" s="493"/>
      <c r="AG27" s="1420"/>
      <c r="AH27" s="1420"/>
      <c r="AI27" s="494"/>
      <c r="AJ27" s="501"/>
      <c r="AK27" s="267">
        <v>16</v>
      </c>
      <c r="AL27" s="493"/>
      <c r="AM27" s="1420"/>
      <c r="AN27" s="1420"/>
      <c r="AO27" s="494"/>
      <c r="AP27" s="495"/>
      <c r="AQ27" s="197">
        <v>16</v>
      </c>
      <c r="AR27" s="493"/>
      <c r="AS27" s="1420"/>
      <c r="AT27" s="1420"/>
      <c r="AU27" s="494"/>
      <c r="AV27" s="495"/>
      <c r="AW27" s="410">
        <v>16</v>
      </c>
      <c r="AX27" s="493"/>
      <c r="AY27" s="1420"/>
      <c r="AZ27" s="1420"/>
      <c r="BA27" s="494"/>
      <c r="BB27" s="504"/>
    </row>
    <row r="28" spans="1:54" x14ac:dyDescent="0.25">
      <c r="A28" s="267">
        <v>17</v>
      </c>
      <c r="B28" s="493"/>
      <c r="C28" s="1420"/>
      <c r="D28" s="1420"/>
      <c r="E28" s="494"/>
      <c r="F28" s="495"/>
      <c r="G28" s="197">
        <v>17</v>
      </c>
      <c r="H28" s="493"/>
      <c r="I28" s="1420"/>
      <c r="J28" s="1420"/>
      <c r="K28" s="494"/>
      <c r="L28" s="495"/>
      <c r="M28" s="410">
        <v>17</v>
      </c>
      <c r="N28" s="493"/>
      <c r="O28" s="1420"/>
      <c r="P28" s="1420"/>
      <c r="Q28" s="494"/>
      <c r="R28" s="501"/>
      <c r="S28" s="250">
        <v>17</v>
      </c>
      <c r="T28" s="493"/>
      <c r="U28" s="1420"/>
      <c r="V28" s="1420"/>
      <c r="W28" s="494"/>
      <c r="X28" s="495"/>
      <c r="Y28" s="197">
        <v>17</v>
      </c>
      <c r="Z28" s="493"/>
      <c r="AA28" s="1420"/>
      <c r="AB28" s="1420"/>
      <c r="AC28" s="494"/>
      <c r="AD28" s="495"/>
      <c r="AE28" s="197">
        <v>17</v>
      </c>
      <c r="AF28" s="493"/>
      <c r="AG28" s="1420"/>
      <c r="AH28" s="1420"/>
      <c r="AI28" s="494"/>
      <c r="AJ28" s="501"/>
      <c r="AK28" s="267">
        <v>17</v>
      </c>
      <c r="AL28" s="493"/>
      <c r="AM28" s="1420"/>
      <c r="AN28" s="1420"/>
      <c r="AO28" s="494"/>
      <c r="AP28" s="495"/>
      <c r="AQ28" s="197">
        <v>17</v>
      </c>
      <c r="AR28" s="493"/>
      <c r="AS28" s="1420"/>
      <c r="AT28" s="1420"/>
      <c r="AU28" s="494"/>
      <c r="AV28" s="495"/>
      <c r="AW28" s="410">
        <v>17</v>
      </c>
      <c r="AX28" s="493"/>
      <c r="AY28" s="1420"/>
      <c r="AZ28" s="1420"/>
      <c r="BA28" s="494"/>
      <c r="BB28" s="504"/>
    </row>
    <row r="29" spans="1:54" x14ac:dyDescent="0.25">
      <c r="A29" s="267">
        <v>18</v>
      </c>
      <c r="B29" s="493"/>
      <c r="C29" s="1420"/>
      <c r="D29" s="1420"/>
      <c r="E29" s="494"/>
      <c r="F29" s="495"/>
      <c r="G29" s="197">
        <v>18</v>
      </c>
      <c r="H29" s="493"/>
      <c r="I29" s="1420"/>
      <c r="J29" s="1420"/>
      <c r="K29" s="494"/>
      <c r="L29" s="495"/>
      <c r="M29" s="410">
        <v>18</v>
      </c>
      <c r="N29" s="493"/>
      <c r="O29" s="1420"/>
      <c r="P29" s="1420"/>
      <c r="Q29" s="494"/>
      <c r="R29" s="501"/>
      <c r="S29" s="250">
        <v>18</v>
      </c>
      <c r="T29" s="493"/>
      <c r="U29" s="1420"/>
      <c r="V29" s="1420"/>
      <c r="W29" s="494"/>
      <c r="X29" s="495"/>
      <c r="Y29" s="197">
        <v>18</v>
      </c>
      <c r="Z29" s="493"/>
      <c r="AA29" s="1420"/>
      <c r="AB29" s="1420"/>
      <c r="AC29" s="494"/>
      <c r="AD29" s="495"/>
      <c r="AE29" s="197">
        <v>18</v>
      </c>
      <c r="AF29" s="493"/>
      <c r="AG29" s="1420"/>
      <c r="AH29" s="1420"/>
      <c r="AI29" s="494"/>
      <c r="AJ29" s="501"/>
      <c r="AK29" s="267">
        <v>18</v>
      </c>
      <c r="AL29" s="493"/>
      <c r="AM29" s="1420"/>
      <c r="AN29" s="1420"/>
      <c r="AO29" s="494"/>
      <c r="AP29" s="495"/>
      <c r="AQ29" s="197">
        <v>18</v>
      </c>
      <c r="AR29" s="493"/>
      <c r="AS29" s="1420"/>
      <c r="AT29" s="1420"/>
      <c r="AU29" s="494"/>
      <c r="AV29" s="495"/>
      <c r="AW29" s="410">
        <v>18</v>
      </c>
      <c r="AX29" s="493"/>
      <c r="AY29" s="1420"/>
      <c r="AZ29" s="1420"/>
      <c r="BA29" s="494"/>
      <c r="BB29" s="504"/>
    </row>
    <row r="30" spans="1:54" x14ac:dyDescent="0.25">
      <c r="A30" s="267">
        <v>19</v>
      </c>
      <c r="B30" s="493"/>
      <c r="C30" s="1420"/>
      <c r="D30" s="1420"/>
      <c r="E30" s="494"/>
      <c r="F30" s="495"/>
      <c r="G30" s="197">
        <v>19</v>
      </c>
      <c r="H30" s="493"/>
      <c r="I30" s="1420"/>
      <c r="J30" s="1420"/>
      <c r="K30" s="494"/>
      <c r="L30" s="495"/>
      <c r="M30" s="410">
        <v>19</v>
      </c>
      <c r="N30" s="493"/>
      <c r="O30" s="1420"/>
      <c r="P30" s="1420"/>
      <c r="Q30" s="494"/>
      <c r="R30" s="501"/>
      <c r="S30" s="250">
        <v>19</v>
      </c>
      <c r="T30" s="493"/>
      <c r="U30" s="1420"/>
      <c r="V30" s="1420"/>
      <c r="W30" s="494"/>
      <c r="X30" s="495"/>
      <c r="Y30" s="197">
        <v>19</v>
      </c>
      <c r="Z30" s="493"/>
      <c r="AA30" s="1420"/>
      <c r="AB30" s="1420"/>
      <c r="AC30" s="494"/>
      <c r="AD30" s="495"/>
      <c r="AE30" s="197">
        <v>19</v>
      </c>
      <c r="AF30" s="493"/>
      <c r="AG30" s="1420"/>
      <c r="AH30" s="1420"/>
      <c r="AI30" s="494"/>
      <c r="AJ30" s="501"/>
      <c r="AK30" s="267">
        <v>19</v>
      </c>
      <c r="AL30" s="493"/>
      <c r="AM30" s="1420"/>
      <c r="AN30" s="1420"/>
      <c r="AO30" s="494"/>
      <c r="AP30" s="495"/>
      <c r="AQ30" s="197">
        <v>19</v>
      </c>
      <c r="AR30" s="493"/>
      <c r="AS30" s="1420"/>
      <c r="AT30" s="1420"/>
      <c r="AU30" s="494"/>
      <c r="AV30" s="495"/>
      <c r="AW30" s="410">
        <v>19</v>
      </c>
      <c r="AX30" s="493"/>
      <c r="AY30" s="1420"/>
      <c r="AZ30" s="1420"/>
      <c r="BA30" s="494"/>
      <c r="BB30" s="504"/>
    </row>
    <row r="31" spans="1:54" x14ac:dyDescent="0.25">
      <c r="A31" s="267">
        <v>20</v>
      </c>
      <c r="B31" s="493"/>
      <c r="C31" s="1420"/>
      <c r="D31" s="1420"/>
      <c r="E31" s="494"/>
      <c r="F31" s="495"/>
      <c r="G31" s="197">
        <v>20</v>
      </c>
      <c r="H31" s="493"/>
      <c r="I31" s="1420"/>
      <c r="J31" s="1420"/>
      <c r="K31" s="494"/>
      <c r="L31" s="495"/>
      <c r="M31" s="410">
        <v>20</v>
      </c>
      <c r="N31" s="493"/>
      <c r="O31" s="1420"/>
      <c r="P31" s="1420"/>
      <c r="Q31" s="494"/>
      <c r="R31" s="501"/>
      <c r="S31" s="250">
        <v>20</v>
      </c>
      <c r="T31" s="493"/>
      <c r="U31" s="1420"/>
      <c r="V31" s="1420"/>
      <c r="W31" s="494"/>
      <c r="X31" s="495"/>
      <c r="Y31" s="197">
        <v>20</v>
      </c>
      <c r="Z31" s="493"/>
      <c r="AA31" s="1420"/>
      <c r="AB31" s="1420"/>
      <c r="AC31" s="494"/>
      <c r="AD31" s="495"/>
      <c r="AE31" s="197">
        <v>20</v>
      </c>
      <c r="AF31" s="493"/>
      <c r="AG31" s="1420"/>
      <c r="AH31" s="1420"/>
      <c r="AI31" s="494"/>
      <c r="AJ31" s="501"/>
      <c r="AK31" s="267">
        <v>20</v>
      </c>
      <c r="AL31" s="493"/>
      <c r="AM31" s="1420"/>
      <c r="AN31" s="1420"/>
      <c r="AO31" s="494"/>
      <c r="AP31" s="495"/>
      <c r="AQ31" s="197">
        <v>20</v>
      </c>
      <c r="AR31" s="493"/>
      <c r="AS31" s="1420"/>
      <c r="AT31" s="1420"/>
      <c r="AU31" s="494"/>
      <c r="AV31" s="495"/>
      <c r="AW31" s="410">
        <v>20</v>
      </c>
      <c r="AX31" s="493"/>
      <c r="AY31" s="1420"/>
      <c r="AZ31" s="1420"/>
      <c r="BA31" s="494"/>
      <c r="BB31" s="504"/>
    </row>
    <row r="32" spans="1:54" s="240" customFormat="1" x14ac:dyDescent="0.25">
      <c r="A32" s="267">
        <v>21</v>
      </c>
      <c r="B32" s="493"/>
      <c r="C32" s="1420"/>
      <c r="D32" s="1420"/>
      <c r="E32" s="494"/>
      <c r="F32" s="495"/>
      <c r="G32" s="197">
        <v>21</v>
      </c>
      <c r="H32" s="493"/>
      <c r="I32" s="1420"/>
      <c r="J32" s="1420"/>
      <c r="K32" s="494"/>
      <c r="L32" s="495"/>
      <c r="M32" s="410">
        <v>21</v>
      </c>
      <c r="N32" s="493"/>
      <c r="O32" s="1420"/>
      <c r="P32" s="1420"/>
      <c r="Q32" s="494"/>
      <c r="R32" s="501"/>
      <c r="S32" s="250">
        <v>21</v>
      </c>
      <c r="T32" s="493"/>
      <c r="U32" s="1420"/>
      <c r="V32" s="1420"/>
      <c r="W32" s="494"/>
      <c r="X32" s="495"/>
      <c r="Y32" s="197">
        <v>21</v>
      </c>
      <c r="Z32" s="493"/>
      <c r="AA32" s="1420"/>
      <c r="AB32" s="1420"/>
      <c r="AC32" s="494"/>
      <c r="AD32" s="495"/>
      <c r="AE32" s="197">
        <v>21</v>
      </c>
      <c r="AF32" s="493"/>
      <c r="AG32" s="1420"/>
      <c r="AH32" s="1420"/>
      <c r="AI32" s="494"/>
      <c r="AJ32" s="501"/>
      <c r="AK32" s="267">
        <v>21</v>
      </c>
      <c r="AL32" s="493"/>
      <c r="AM32" s="1420"/>
      <c r="AN32" s="1420"/>
      <c r="AO32" s="494"/>
      <c r="AP32" s="495"/>
      <c r="AQ32" s="197">
        <v>21</v>
      </c>
      <c r="AR32" s="493"/>
      <c r="AS32" s="1420"/>
      <c r="AT32" s="1420"/>
      <c r="AU32" s="494"/>
      <c r="AV32" s="495"/>
      <c r="AW32" s="410">
        <v>21</v>
      </c>
      <c r="AX32" s="493"/>
      <c r="AY32" s="1420"/>
      <c r="AZ32" s="1420"/>
      <c r="BA32" s="494"/>
      <c r="BB32" s="504"/>
    </row>
    <row r="33" spans="1:54" s="240" customFormat="1" x14ac:dyDescent="0.25">
      <c r="A33" s="267">
        <v>22</v>
      </c>
      <c r="B33" s="493"/>
      <c r="C33" s="1420"/>
      <c r="D33" s="1420"/>
      <c r="E33" s="494"/>
      <c r="F33" s="495"/>
      <c r="G33" s="197">
        <v>22</v>
      </c>
      <c r="H33" s="493"/>
      <c r="I33" s="1420"/>
      <c r="J33" s="1420"/>
      <c r="K33" s="494"/>
      <c r="L33" s="495"/>
      <c r="M33" s="410">
        <v>22</v>
      </c>
      <c r="N33" s="493"/>
      <c r="O33" s="1420"/>
      <c r="P33" s="1420"/>
      <c r="Q33" s="494"/>
      <c r="R33" s="501"/>
      <c r="S33" s="250">
        <v>22</v>
      </c>
      <c r="T33" s="493"/>
      <c r="U33" s="1420"/>
      <c r="V33" s="1420"/>
      <c r="W33" s="494"/>
      <c r="X33" s="495"/>
      <c r="Y33" s="197">
        <v>22</v>
      </c>
      <c r="Z33" s="493"/>
      <c r="AA33" s="1420"/>
      <c r="AB33" s="1420"/>
      <c r="AC33" s="494"/>
      <c r="AD33" s="495"/>
      <c r="AE33" s="197">
        <v>22</v>
      </c>
      <c r="AF33" s="493"/>
      <c r="AG33" s="1420"/>
      <c r="AH33" s="1420"/>
      <c r="AI33" s="494"/>
      <c r="AJ33" s="501"/>
      <c r="AK33" s="267">
        <v>22</v>
      </c>
      <c r="AL33" s="493"/>
      <c r="AM33" s="1420"/>
      <c r="AN33" s="1420"/>
      <c r="AO33" s="494"/>
      <c r="AP33" s="495"/>
      <c r="AQ33" s="197">
        <v>22</v>
      </c>
      <c r="AR33" s="493"/>
      <c r="AS33" s="1420"/>
      <c r="AT33" s="1420"/>
      <c r="AU33" s="494"/>
      <c r="AV33" s="495"/>
      <c r="AW33" s="410">
        <v>22</v>
      </c>
      <c r="AX33" s="493"/>
      <c r="AY33" s="1420"/>
      <c r="AZ33" s="1420"/>
      <c r="BA33" s="494"/>
      <c r="BB33" s="504"/>
    </row>
    <row r="34" spans="1:54" s="240" customFormat="1" x14ac:dyDescent="0.25">
      <c r="A34" s="267">
        <v>23</v>
      </c>
      <c r="B34" s="493"/>
      <c r="C34" s="1420"/>
      <c r="D34" s="1420"/>
      <c r="E34" s="494"/>
      <c r="F34" s="495"/>
      <c r="G34" s="197">
        <v>23</v>
      </c>
      <c r="H34" s="493"/>
      <c r="I34" s="1420"/>
      <c r="J34" s="1420"/>
      <c r="K34" s="494"/>
      <c r="L34" s="495"/>
      <c r="M34" s="410">
        <v>23</v>
      </c>
      <c r="N34" s="493"/>
      <c r="O34" s="1420"/>
      <c r="P34" s="1420"/>
      <c r="Q34" s="494"/>
      <c r="R34" s="501"/>
      <c r="S34" s="250">
        <v>23</v>
      </c>
      <c r="T34" s="493"/>
      <c r="U34" s="1420"/>
      <c r="V34" s="1420"/>
      <c r="W34" s="494"/>
      <c r="X34" s="495"/>
      <c r="Y34" s="197">
        <v>23</v>
      </c>
      <c r="Z34" s="493"/>
      <c r="AA34" s="1420"/>
      <c r="AB34" s="1420"/>
      <c r="AC34" s="494"/>
      <c r="AD34" s="495"/>
      <c r="AE34" s="197">
        <v>23</v>
      </c>
      <c r="AF34" s="493"/>
      <c r="AG34" s="1420"/>
      <c r="AH34" s="1420"/>
      <c r="AI34" s="494"/>
      <c r="AJ34" s="501"/>
      <c r="AK34" s="267">
        <v>23</v>
      </c>
      <c r="AL34" s="493"/>
      <c r="AM34" s="1420"/>
      <c r="AN34" s="1420"/>
      <c r="AO34" s="494"/>
      <c r="AP34" s="495"/>
      <c r="AQ34" s="197">
        <v>23</v>
      </c>
      <c r="AR34" s="493"/>
      <c r="AS34" s="1420"/>
      <c r="AT34" s="1420"/>
      <c r="AU34" s="494"/>
      <c r="AV34" s="495"/>
      <c r="AW34" s="410">
        <v>23</v>
      </c>
      <c r="AX34" s="493"/>
      <c r="AY34" s="1420"/>
      <c r="AZ34" s="1420"/>
      <c r="BA34" s="494"/>
      <c r="BB34" s="504"/>
    </row>
    <row r="35" spans="1:54" s="240" customFormat="1" x14ac:dyDescent="0.25">
      <c r="A35" s="267">
        <v>24</v>
      </c>
      <c r="B35" s="493"/>
      <c r="C35" s="1420"/>
      <c r="D35" s="1420"/>
      <c r="E35" s="494"/>
      <c r="F35" s="495"/>
      <c r="G35" s="197">
        <v>24</v>
      </c>
      <c r="H35" s="493"/>
      <c r="I35" s="1420"/>
      <c r="J35" s="1420"/>
      <c r="K35" s="494"/>
      <c r="L35" s="495"/>
      <c r="M35" s="410">
        <v>24</v>
      </c>
      <c r="N35" s="493"/>
      <c r="O35" s="1420"/>
      <c r="P35" s="1420"/>
      <c r="Q35" s="494"/>
      <c r="R35" s="501"/>
      <c r="S35" s="250">
        <v>24</v>
      </c>
      <c r="T35" s="493"/>
      <c r="U35" s="1420"/>
      <c r="V35" s="1420"/>
      <c r="W35" s="494"/>
      <c r="X35" s="495"/>
      <c r="Y35" s="197">
        <v>24</v>
      </c>
      <c r="Z35" s="493"/>
      <c r="AA35" s="1420"/>
      <c r="AB35" s="1420"/>
      <c r="AC35" s="494"/>
      <c r="AD35" s="495"/>
      <c r="AE35" s="197">
        <v>24</v>
      </c>
      <c r="AF35" s="493"/>
      <c r="AG35" s="1420"/>
      <c r="AH35" s="1420"/>
      <c r="AI35" s="494"/>
      <c r="AJ35" s="501"/>
      <c r="AK35" s="267">
        <v>24</v>
      </c>
      <c r="AL35" s="493"/>
      <c r="AM35" s="1420"/>
      <c r="AN35" s="1420"/>
      <c r="AO35" s="494"/>
      <c r="AP35" s="495"/>
      <c r="AQ35" s="197">
        <v>24</v>
      </c>
      <c r="AR35" s="493"/>
      <c r="AS35" s="1420"/>
      <c r="AT35" s="1420"/>
      <c r="AU35" s="494"/>
      <c r="AV35" s="495"/>
      <c r="AW35" s="410">
        <v>24</v>
      </c>
      <c r="AX35" s="493"/>
      <c r="AY35" s="1420"/>
      <c r="AZ35" s="1420"/>
      <c r="BA35" s="494"/>
      <c r="BB35" s="504"/>
    </row>
    <row r="36" spans="1:54" s="240" customFormat="1" x14ac:dyDescent="0.25">
      <c r="A36" s="267">
        <v>25</v>
      </c>
      <c r="B36" s="493"/>
      <c r="C36" s="1420"/>
      <c r="D36" s="1420"/>
      <c r="E36" s="494"/>
      <c r="F36" s="495"/>
      <c r="G36" s="197">
        <v>25</v>
      </c>
      <c r="H36" s="493"/>
      <c r="I36" s="1420"/>
      <c r="J36" s="1420"/>
      <c r="K36" s="494"/>
      <c r="L36" s="495"/>
      <c r="M36" s="410">
        <v>25</v>
      </c>
      <c r="N36" s="493"/>
      <c r="O36" s="1420"/>
      <c r="P36" s="1420"/>
      <c r="Q36" s="494"/>
      <c r="R36" s="501"/>
      <c r="S36" s="250">
        <v>25</v>
      </c>
      <c r="T36" s="493"/>
      <c r="U36" s="1420"/>
      <c r="V36" s="1420"/>
      <c r="W36" s="494"/>
      <c r="X36" s="495"/>
      <c r="Y36" s="197">
        <v>25</v>
      </c>
      <c r="Z36" s="493"/>
      <c r="AA36" s="1420"/>
      <c r="AB36" s="1420"/>
      <c r="AC36" s="494"/>
      <c r="AD36" s="495"/>
      <c r="AE36" s="197">
        <v>25</v>
      </c>
      <c r="AF36" s="493"/>
      <c r="AG36" s="1420"/>
      <c r="AH36" s="1420"/>
      <c r="AI36" s="494"/>
      <c r="AJ36" s="501"/>
      <c r="AK36" s="267">
        <v>25</v>
      </c>
      <c r="AL36" s="493"/>
      <c r="AM36" s="1420"/>
      <c r="AN36" s="1420"/>
      <c r="AO36" s="494"/>
      <c r="AP36" s="495"/>
      <c r="AQ36" s="197">
        <v>25</v>
      </c>
      <c r="AR36" s="493"/>
      <c r="AS36" s="1420"/>
      <c r="AT36" s="1420"/>
      <c r="AU36" s="494"/>
      <c r="AV36" s="495"/>
      <c r="AW36" s="410">
        <v>25</v>
      </c>
      <c r="AX36" s="493"/>
      <c r="AY36" s="1420"/>
      <c r="AZ36" s="1420"/>
      <c r="BA36" s="494"/>
      <c r="BB36" s="504"/>
    </row>
    <row r="37" spans="1:54" s="240" customFormat="1" x14ac:dyDescent="0.25">
      <c r="A37" s="267">
        <v>26</v>
      </c>
      <c r="B37" s="493"/>
      <c r="C37" s="1420"/>
      <c r="D37" s="1420"/>
      <c r="E37" s="494"/>
      <c r="F37" s="495"/>
      <c r="G37" s="197">
        <v>26</v>
      </c>
      <c r="H37" s="493"/>
      <c r="I37" s="1420"/>
      <c r="J37" s="1420"/>
      <c r="K37" s="494"/>
      <c r="L37" s="495"/>
      <c r="M37" s="410">
        <v>26</v>
      </c>
      <c r="N37" s="493"/>
      <c r="O37" s="1420"/>
      <c r="P37" s="1420"/>
      <c r="Q37" s="494"/>
      <c r="R37" s="501"/>
      <c r="S37" s="250">
        <v>26</v>
      </c>
      <c r="T37" s="493"/>
      <c r="U37" s="1420"/>
      <c r="V37" s="1420"/>
      <c r="W37" s="494"/>
      <c r="X37" s="495"/>
      <c r="Y37" s="197">
        <v>26</v>
      </c>
      <c r="Z37" s="493"/>
      <c r="AA37" s="1420"/>
      <c r="AB37" s="1420"/>
      <c r="AC37" s="494"/>
      <c r="AD37" s="495"/>
      <c r="AE37" s="197">
        <v>26</v>
      </c>
      <c r="AF37" s="493"/>
      <c r="AG37" s="1420"/>
      <c r="AH37" s="1420"/>
      <c r="AI37" s="494"/>
      <c r="AJ37" s="501"/>
      <c r="AK37" s="267">
        <v>26</v>
      </c>
      <c r="AL37" s="493"/>
      <c r="AM37" s="1420"/>
      <c r="AN37" s="1420"/>
      <c r="AO37" s="494"/>
      <c r="AP37" s="495"/>
      <c r="AQ37" s="197">
        <v>26</v>
      </c>
      <c r="AR37" s="493"/>
      <c r="AS37" s="1420"/>
      <c r="AT37" s="1420"/>
      <c r="AU37" s="494"/>
      <c r="AV37" s="495"/>
      <c r="AW37" s="410">
        <v>26</v>
      </c>
      <c r="AX37" s="493"/>
      <c r="AY37" s="1420"/>
      <c r="AZ37" s="1420"/>
      <c r="BA37" s="494"/>
      <c r="BB37" s="504"/>
    </row>
    <row r="38" spans="1:54" s="240" customFormat="1" x14ac:dyDescent="0.25">
      <c r="A38" s="267">
        <v>27</v>
      </c>
      <c r="B38" s="493"/>
      <c r="C38" s="1420"/>
      <c r="D38" s="1420"/>
      <c r="E38" s="494"/>
      <c r="F38" s="495"/>
      <c r="G38" s="197">
        <v>27</v>
      </c>
      <c r="H38" s="493"/>
      <c r="I38" s="1420"/>
      <c r="J38" s="1420"/>
      <c r="K38" s="494"/>
      <c r="L38" s="495"/>
      <c r="M38" s="410">
        <v>27</v>
      </c>
      <c r="N38" s="493"/>
      <c r="O38" s="1420"/>
      <c r="P38" s="1420"/>
      <c r="Q38" s="494"/>
      <c r="R38" s="501"/>
      <c r="S38" s="250">
        <v>27</v>
      </c>
      <c r="T38" s="493"/>
      <c r="U38" s="1420"/>
      <c r="V38" s="1420"/>
      <c r="W38" s="494"/>
      <c r="X38" s="495"/>
      <c r="Y38" s="197">
        <v>27</v>
      </c>
      <c r="Z38" s="493"/>
      <c r="AA38" s="1420"/>
      <c r="AB38" s="1420"/>
      <c r="AC38" s="494"/>
      <c r="AD38" s="495"/>
      <c r="AE38" s="197">
        <v>27</v>
      </c>
      <c r="AF38" s="493"/>
      <c r="AG38" s="1420"/>
      <c r="AH38" s="1420"/>
      <c r="AI38" s="494"/>
      <c r="AJ38" s="501"/>
      <c r="AK38" s="267">
        <v>27</v>
      </c>
      <c r="AL38" s="493"/>
      <c r="AM38" s="1420"/>
      <c r="AN38" s="1420"/>
      <c r="AO38" s="494"/>
      <c r="AP38" s="495"/>
      <c r="AQ38" s="197">
        <v>27</v>
      </c>
      <c r="AR38" s="493"/>
      <c r="AS38" s="1420"/>
      <c r="AT38" s="1420"/>
      <c r="AU38" s="494"/>
      <c r="AV38" s="495"/>
      <c r="AW38" s="410">
        <v>27</v>
      </c>
      <c r="AX38" s="493"/>
      <c r="AY38" s="1420"/>
      <c r="AZ38" s="1420"/>
      <c r="BA38" s="494"/>
      <c r="BB38" s="504"/>
    </row>
    <row r="39" spans="1:54" s="240" customFormat="1" x14ac:dyDescent="0.25">
      <c r="A39" s="267">
        <v>28</v>
      </c>
      <c r="B39" s="493"/>
      <c r="C39" s="1420"/>
      <c r="D39" s="1420"/>
      <c r="E39" s="494"/>
      <c r="F39" s="495"/>
      <c r="G39" s="197">
        <v>28</v>
      </c>
      <c r="H39" s="493"/>
      <c r="I39" s="1420"/>
      <c r="J39" s="1420"/>
      <c r="K39" s="494"/>
      <c r="L39" s="495"/>
      <c r="M39" s="410">
        <v>28</v>
      </c>
      <c r="N39" s="493"/>
      <c r="O39" s="1420"/>
      <c r="P39" s="1420"/>
      <c r="Q39" s="494"/>
      <c r="R39" s="501"/>
      <c r="S39" s="250">
        <v>28</v>
      </c>
      <c r="T39" s="493"/>
      <c r="U39" s="1420"/>
      <c r="V39" s="1420"/>
      <c r="W39" s="494"/>
      <c r="X39" s="495"/>
      <c r="Y39" s="197">
        <v>28</v>
      </c>
      <c r="Z39" s="493"/>
      <c r="AA39" s="1420"/>
      <c r="AB39" s="1420"/>
      <c r="AC39" s="494"/>
      <c r="AD39" s="495"/>
      <c r="AE39" s="197">
        <v>28</v>
      </c>
      <c r="AF39" s="493"/>
      <c r="AG39" s="1420"/>
      <c r="AH39" s="1420"/>
      <c r="AI39" s="494"/>
      <c r="AJ39" s="501"/>
      <c r="AK39" s="267">
        <v>28</v>
      </c>
      <c r="AL39" s="493"/>
      <c r="AM39" s="1420"/>
      <c r="AN39" s="1420"/>
      <c r="AO39" s="494"/>
      <c r="AP39" s="495"/>
      <c r="AQ39" s="197">
        <v>28</v>
      </c>
      <c r="AR39" s="493"/>
      <c r="AS39" s="1420"/>
      <c r="AT39" s="1420"/>
      <c r="AU39" s="494"/>
      <c r="AV39" s="495"/>
      <c r="AW39" s="410">
        <v>28</v>
      </c>
      <c r="AX39" s="493"/>
      <c r="AY39" s="1420"/>
      <c r="AZ39" s="1420"/>
      <c r="BA39" s="494"/>
      <c r="BB39" s="504"/>
    </row>
    <row r="40" spans="1:54" s="240" customFormat="1" x14ac:dyDescent="0.25">
      <c r="A40" s="267">
        <v>29</v>
      </c>
      <c r="B40" s="493"/>
      <c r="C40" s="1420"/>
      <c r="D40" s="1420"/>
      <c r="E40" s="494"/>
      <c r="F40" s="495"/>
      <c r="G40" s="197">
        <v>29</v>
      </c>
      <c r="H40" s="493"/>
      <c r="I40" s="1420"/>
      <c r="J40" s="1420"/>
      <c r="K40" s="494"/>
      <c r="L40" s="495"/>
      <c r="M40" s="410">
        <v>29</v>
      </c>
      <c r="N40" s="493"/>
      <c r="O40" s="1420"/>
      <c r="P40" s="1420"/>
      <c r="Q40" s="494"/>
      <c r="R40" s="501"/>
      <c r="S40" s="250">
        <v>29</v>
      </c>
      <c r="T40" s="493"/>
      <c r="U40" s="1420"/>
      <c r="V40" s="1420"/>
      <c r="W40" s="494"/>
      <c r="X40" s="495"/>
      <c r="Y40" s="197">
        <v>29</v>
      </c>
      <c r="Z40" s="493"/>
      <c r="AA40" s="1420"/>
      <c r="AB40" s="1420"/>
      <c r="AC40" s="494"/>
      <c r="AD40" s="495"/>
      <c r="AE40" s="197">
        <v>29</v>
      </c>
      <c r="AF40" s="493"/>
      <c r="AG40" s="1420"/>
      <c r="AH40" s="1420"/>
      <c r="AI40" s="494"/>
      <c r="AJ40" s="501"/>
      <c r="AK40" s="267">
        <v>29</v>
      </c>
      <c r="AL40" s="493"/>
      <c r="AM40" s="1420"/>
      <c r="AN40" s="1420"/>
      <c r="AO40" s="494"/>
      <c r="AP40" s="495"/>
      <c r="AQ40" s="197">
        <v>29</v>
      </c>
      <c r="AR40" s="493"/>
      <c r="AS40" s="1420"/>
      <c r="AT40" s="1420"/>
      <c r="AU40" s="494"/>
      <c r="AV40" s="495"/>
      <c r="AW40" s="410">
        <v>29</v>
      </c>
      <c r="AX40" s="493"/>
      <c r="AY40" s="1420"/>
      <c r="AZ40" s="1420"/>
      <c r="BA40" s="494"/>
      <c r="BB40" s="504"/>
    </row>
    <row r="41" spans="1:54" s="240" customFormat="1" x14ac:dyDescent="0.25">
      <c r="A41" s="267">
        <v>30</v>
      </c>
      <c r="B41" s="493"/>
      <c r="C41" s="1420"/>
      <c r="D41" s="1420"/>
      <c r="E41" s="494"/>
      <c r="F41" s="495"/>
      <c r="G41" s="197">
        <v>30</v>
      </c>
      <c r="H41" s="493"/>
      <c r="I41" s="1420"/>
      <c r="J41" s="1420"/>
      <c r="K41" s="494"/>
      <c r="L41" s="495"/>
      <c r="M41" s="410">
        <v>30</v>
      </c>
      <c r="N41" s="493"/>
      <c r="O41" s="1420"/>
      <c r="P41" s="1420"/>
      <c r="Q41" s="494"/>
      <c r="R41" s="501"/>
      <c r="S41" s="250">
        <v>30</v>
      </c>
      <c r="T41" s="493"/>
      <c r="U41" s="1420"/>
      <c r="V41" s="1420"/>
      <c r="W41" s="494"/>
      <c r="X41" s="495"/>
      <c r="Y41" s="197">
        <v>30</v>
      </c>
      <c r="Z41" s="493"/>
      <c r="AA41" s="1420"/>
      <c r="AB41" s="1420"/>
      <c r="AC41" s="494"/>
      <c r="AD41" s="495"/>
      <c r="AE41" s="197">
        <v>30</v>
      </c>
      <c r="AF41" s="493"/>
      <c r="AG41" s="1420"/>
      <c r="AH41" s="1420"/>
      <c r="AI41" s="494"/>
      <c r="AJ41" s="501"/>
      <c r="AK41" s="267">
        <v>30</v>
      </c>
      <c r="AL41" s="493"/>
      <c r="AM41" s="1420"/>
      <c r="AN41" s="1420"/>
      <c r="AO41" s="494"/>
      <c r="AP41" s="495"/>
      <c r="AQ41" s="197">
        <v>30</v>
      </c>
      <c r="AR41" s="493"/>
      <c r="AS41" s="1420"/>
      <c r="AT41" s="1420"/>
      <c r="AU41" s="494"/>
      <c r="AV41" s="495"/>
      <c r="AW41" s="410">
        <v>30</v>
      </c>
      <c r="AX41" s="493"/>
      <c r="AY41" s="1420"/>
      <c r="AZ41" s="1420"/>
      <c r="BA41" s="494"/>
      <c r="BB41" s="504"/>
    </row>
    <row r="42" spans="1:54" x14ac:dyDescent="0.25">
      <c r="A42" s="267">
        <v>31</v>
      </c>
      <c r="B42" s="493"/>
      <c r="C42" s="1420"/>
      <c r="D42" s="1420"/>
      <c r="E42" s="494"/>
      <c r="F42" s="495"/>
      <c r="G42" s="197">
        <v>31</v>
      </c>
      <c r="H42" s="493"/>
      <c r="I42" s="1420"/>
      <c r="J42" s="1420"/>
      <c r="K42" s="494"/>
      <c r="L42" s="495"/>
      <c r="M42" s="410">
        <v>31</v>
      </c>
      <c r="N42" s="493"/>
      <c r="O42" s="1420"/>
      <c r="P42" s="1420"/>
      <c r="Q42" s="494"/>
      <c r="R42" s="501"/>
      <c r="S42" s="250">
        <v>31</v>
      </c>
      <c r="T42" s="493"/>
      <c r="U42" s="1420"/>
      <c r="V42" s="1420"/>
      <c r="W42" s="494"/>
      <c r="X42" s="495"/>
      <c r="Y42" s="197">
        <v>31</v>
      </c>
      <c r="Z42" s="493"/>
      <c r="AA42" s="1420"/>
      <c r="AB42" s="1420"/>
      <c r="AC42" s="494"/>
      <c r="AD42" s="495"/>
      <c r="AE42" s="197">
        <v>31</v>
      </c>
      <c r="AF42" s="493"/>
      <c r="AG42" s="1420"/>
      <c r="AH42" s="1420"/>
      <c r="AI42" s="494"/>
      <c r="AJ42" s="501"/>
      <c r="AK42" s="267">
        <v>31</v>
      </c>
      <c r="AL42" s="493"/>
      <c r="AM42" s="1420"/>
      <c r="AN42" s="1420"/>
      <c r="AO42" s="494"/>
      <c r="AP42" s="495"/>
      <c r="AQ42" s="197">
        <v>31</v>
      </c>
      <c r="AR42" s="493"/>
      <c r="AS42" s="1420"/>
      <c r="AT42" s="1420"/>
      <c r="AU42" s="494"/>
      <c r="AV42" s="495"/>
      <c r="AW42" s="410">
        <v>31</v>
      </c>
      <c r="AX42" s="493"/>
      <c r="AY42" s="1420"/>
      <c r="AZ42" s="1420"/>
      <c r="BA42" s="494"/>
      <c r="BB42" s="504"/>
    </row>
    <row r="43" spans="1:54" x14ac:dyDescent="0.25">
      <c r="A43" s="267">
        <v>32</v>
      </c>
      <c r="B43" s="493"/>
      <c r="C43" s="1420"/>
      <c r="D43" s="1420"/>
      <c r="E43" s="494"/>
      <c r="F43" s="495"/>
      <c r="G43" s="197">
        <v>32</v>
      </c>
      <c r="H43" s="493"/>
      <c r="I43" s="1420"/>
      <c r="J43" s="1420"/>
      <c r="K43" s="494"/>
      <c r="L43" s="495"/>
      <c r="M43" s="410">
        <v>32</v>
      </c>
      <c r="N43" s="493"/>
      <c r="O43" s="1420"/>
      <c r="P43" s="1420"/>
      <c r="Q43" s="494"/>
      <c r="R43" s="501"/>
      <c r="S43" s="250">
        <v>32</v>
      </c>
      <c r="T43" s="493"/>
      <c r="U43" s="1420"/>
      <c r="V43" s="1420"/>
      <c r="W43" s="494"/>
      <c r="X43" s="495"/>
      <c r="Y43" s="197">
        <v>32</v>
      </c>
      <c r="Z43" s="493"/>
      <c r="AA43" s="1420"/>
      <c r="AB43" s="1420"/>
      <c r="AC43" s="494"/>
      <c r="AD43" s="495"/>
      <c r="AE43" s="197">
        <v>32</v>
      </c>
      <c r="AF43" s="493"/>
      <c r="AG43" s="1420"/>
      <c r="AH43" s="1420"/>
      <c r="AI43" s="494"/>
      <c r="AJ43" s="501"/>
      <c r="AK43" s="267">
        <v>32</v>
      </c>
      <c r="AL43" s="493"/>
      <c r="AM43" s="1420"/>
      <c r="AN43" s="1420"/>
      <c r="AO43" s="494"/>
      <c r="AP43" s="495"/>
      <c r="AQ43" s="197">
        <v>32</v>
      </c>
      <c r="AR43" s="493"/>
      <c r="AS43" s="1420"/>
      <c r="AT43" s="1420"/>
      <c r="AU43" s="494"/>
      <c r="AV43" s="495"/>
      <c r="AW43" s="410">
        <v>32</v>
      </c>
      <c r="AX43" s="493"/>
      <c r="AY43" s="1420"/>
      <c r="AZ43" s="1420"/>
      <c r="BA43" s="494"/>
      <c r="BB43" s="504"/>
    </row>
    <row r="44" spans="1:54" x14ac:dyDescent="0.25">
      <c r="A44" s="267">
        <v>33</v>
      </c>
      <c r="B44" s="493"/>
      <c r="C44" s="1420"/>
      <c r="D44" s="1420"/>
      <c r="E44" s="494"/>
      <c r="F44" s="495"/>
      <c r="G44" s="197">
        <v>33</v>
      </c>
      <c r="H44" s="493"/>
      <c r="I44" s="1420"/>
      <c r="J44" s="1420"/>
      <c r="K44" s="494"/>
      <c r="L44" s="495"/>
      <c r="M44" s="410">
        <v>33</v>
      </c>
      <c r="N44" s="493"/>
      <c r="O44" s="1420"/>
      <c r="P44" s="1420"/>
      <c r="Q44" s="494"/>
      <c r="R44" s="501"/>
      <c r="S44" s="250">
        <v>33</v>
      </c>
      <c r="T44" s="493"/>
      <c r="U44" s="1420"/>
      <c r="V44" s="1420"/>
      <c r="W44" s="494"/>
      <c r="X44" s="495"/>
      <c r="Y44" s="197">
        <v>33</v>
      </c>
      <c r="Z44" s="493"/>
      <c r="AA44" s="1420"/>
      <c r="AB44" s="1420"/>
      <c r="AC44" s="494"/>
      <c r="AD44" s="495"/>
      <c r="AE44" s="197">
        <v>33</v>
      </c>
      <c r="AF44" s="493"/>
      <c r="AG44" s="1420"/>
      <c r="AH44" s="1420"/>
      <c r="AI44" s="494"/>
      <c r="AJ44" s="501"/>
      <c r="AK44" s="267">
        <v>33</v>
      </c>
      <c r="AL44" s="493"/>
      <c r="AM44" s="1420"/>
      <c r="AN44" s="1420"/>
      <c r="AO44" s="494"/>
      <c r="AP44" s="495"/>
      <c r="AQ44" s="197">
        <v>33</v>
      </c>
      <c r="AR44" s="493"/>
      <c r="AS44" s="1420"/>
      <c r="AT44" s="1420"/>
      <c r="AU44" s="494"/>
      <c r="AV44" s="495"/>
      <c r="AW44" s="410">
        <v>33</v>
      </c>
      <c r="AX44" s="493"/>
      <c r="AY44" s="1420"/>
      <c r="AZ44" s="1420"/>
      <c r="BA44" s="494"/>
      <c r="BB44" s="504"/>
    </row>
    <row r="45" spans="1:54" x14ac:dyDescent="0.25">
      <c r="A45" s="267">
        <v>34</v>
      </c>
      <c r="B45" s="493"/>
      <c r="C45" s="1420"/>
      <c r="D45" s="1420"/>
      <c r="E45" s="494"/>
      <c r="F45" s="495"/>
      <c r="G45" s="197">
        <v>34</v>
      </c>
      <c r="H45" s="493"/>
      <c r="I45" s="1420"/>
      <c r="J45" s="1420"/>
      <c r="K45" s="494"/>
      <c r="L45" s="495"/>
      <c r="M45" s="410">
        <v>34</v>
      </c>
      <c r="N45" s="493"/>
      <c r="O45" s="1420"/>
      <c r="P45" s="1420"/>
      <c r="Q45" s="494"/>
      <c r="R45" s="501"/>
      <c r="S45" s="250">
        <v>34</v>
      </c>
      <c r="T45" s="493"/>
      <c r="U45" s="1420"/>
      <c r="V45" s="1420"/>
      <c r="W45" s="494"/>
      <c r="X45" s="495"/>
      <c r="Y45" s="197">
        <v>34</v>
      </c>
      <c r="Z45" s="493"/>
      <c r="AA45" s="1420"/>
      <c r="AB45" s="1420"/>
      <c r="AC45" s="494"/>
      <c r="AD45" s="495"/>
      <c r="AE45" s="197">
        <v>34</v>
      </c>
      <c r="AF45" s="493"/>
      <c r="AG45" s="1420"/>
      <c r="AH45" s="1420"/>
      <c r="AI45" s="494"/>
      <c r="AJ45" s="501"/>
      <c r="AK45" s="267">
        <v>34</v>
      </c>
      <c r="AL45" s="493"/>
      <c r="AM45" s="1420"/>
      <c r="AN45" s="1420"/>
      <c r="AO45" s="494"/>
      <c r="AP45" s="495"/>
      <c r="AQ45" s="197">
        <v>34</v>
      </c>
      <c r="AR45" s="493"/>
      <c r="AS45" s="1420"/>
      <c r="AT45" s="1420"/>
      <c r="AU45" s="494"/>
      <c r="AV45" s="495"/>
      <c r="AW45" s="410">
        <v>34</v>
      </c>
      <c r="AX45" s="493"/>
      <c r="AY45" s="1420"/>
      <c r="AZ45" s="1420"/>
      <c r="BA45" s="494"/>
      <c r="BB45" s="504"/>
    </row>
    <row r="46" spans="1:54" x14ac:dyDescent="0.25">
      <c r="A46" s="267">
        <v>35</v>
      </c>
      <c r="B46" s="493"/>
      <c r="C46" s="1420"/>
      <c r="D46" s="1420"/>
      <c r="E46" s="494"/>
      <c r="F46" s="495"/>
      <c r="G46" s="197">
        <v>35</v>
      </c>
      <c r="H46" s="493"/>
      <c r="I46" s="1420"/>
      <c r="J46" s="1420"/>
      <c r="K46" s="494"/>
      <c r="L46" s="495"/>
      <c r="M46" s="410">
        <v>35</v>
      </c>
      <c r="N46" s="493"/>
      <c r="O46" s="1420"/>
      <c r="P46" s="1420"/>
      <c r="Q46" s="494"/>
      <c r="R46" s="501"/>
      <c r="S46" s="250">
        <v>35</v>
      </c>
      <c r="T46" s="493"/>
      <c r="U46" s="1420"/>
      <c r="V46" s="1420"/>
      <c r="W46" s="494"/>
      <c r="X46" s="495"/>
      <c r="Y46" s="197">
        <v>35</v>
      </c>
      <c r="Z46" s="493"/>
      <c r="AA46" s="1420"/>
      <c r="AB46" s="1420"/>
      <c r="AC46" s="494"/>
      <c r="AD46" s="495"/>
      <c r="AE46" s="197">
        <v>35</v>
      </c>
      <c r="AF46" s="493"/>
      <c r="AG46" s="1420"/>
      <c r="AH46" s="1420"/>
      <c r="AI46" s="494"/>
      <c r="AJ46" s="501"/>
      <c r="AK46" s="267">
        <v>35</v>
      </c>
      <c r="AL46" s="493"/>
      <c r="AM46" s="1420"/>
      <c r="AN46" s="1420"/>
      <c r="AO46" s="494"/>
      <c r="AP46" s="495"/>
      <c r="AQ46" s="197">
        <v>35</v>
      </c>
      <c r="AR46" s="493"/>
      <c r="AS46" s="1420"/>
      <c r="AT46" s="1420"/>
      <c r="AU46" s="494"/>
      <c r="AV46" s="495"/>
      <c r="AW46" s="410">
        <v>35</v>
      </c>
      <c r="AX46" s="493"/>
      <c r="AY46" s="1420"/>
      <c r="AZ46" s="1420"/>
      <c r="BA46" s="494"/>
      <c r="BB46" s="504"/>
    </row>
    <row r="47" spans="1:54" x14ac:dyDescent="0.25">
      <c r="A47" s="267">
        <v>36</v>
      </c>
      <c r="B47" s="493"/>
      <c r="C47" s="1420"/>
      <c r="D47" s="1420"/>
      <c r="E47" s="494"/>
      <c r="F47" s="495"/>
      <c r="G47" s="197">
        <v>36</v>
      </c>
      <c r="H47" s="493"/>
      <c r="I47" s="1420"/>
      <c r="J47" s="1420"/>
      <c r="K47" s="494"/>
      <c r="L47" s="495"/>
      <c r="M47" s="410">
        <v>36</v>
      </c>
      <c r="N47" s="493"/>
      <c r="O47" s="1420"/>
      <c r="P47" s="1420"/>
      <c r="Q47" s="494"/>
      <c r="R47" s="501"/>
      <c r="S47" s="250">
        <v>36</v>
      </c>
      <c r="T47" s="493"/>
      <c r="U47" s="1420"/>
      <c r="V47" s="1420"/>
      <c r="W47" s="494"/>
      <c r="X47" s="495"/>
      <c r="Y47" s="197">
        <v>36</v>
      </c>
      <c r="Z47" s="493"/>
      <c r="AA47" s="1420"/>
      <c r="AB47" s="1420"/>
      <c r="AC47" s="494"/>
      <c r="AD47" s="495"/>
      <c r="AE47" s="197">
        <v>36</v>
      </c>
      <c r="AF47" s="493"/>
      <c r="AG47" s="1420"/>
      <c r="AH47" s="1420"/>
      <c r="AI47" s="494"/>
      <c r="AJ47" s="501"/>
      <c r="AK47" s="267">
        <v>36</v>
      </c>
      <c r="AL47" s="493"/>
      <c r="AM47" s="1420"/>
      <c r="AN47" s="1420"/>
      <c r="AO47" s="494"/>
      <c r="AP47" s="495"/>
      <c r="AQ47" s="197">
        <v>36</v>
      </c>
      <c r="AR47" s="493"/>
      <c r="AS47" s="1420"/>
      <c r="AT47" s="1420"/>
      <c r="AU47" s="494"/>
      <c r="AV47" s="495"/>
      <c r="AW47" s="410">
        <v>36</v>
      </c>
      <c r="AX47" s="493"/>
      <c r="AY47" s="1420"/>
      <c r="AZ47" s="1420"/>
      <c r="BA47" s="494"/>
      <c r="BB47" s="504"/>
    </row>
    <row r="48" spans="1:54" x14ac:dyDescent="0.25">
      <c r="A48" s="267">
        <v>37</v>
      </c>
      <c r="B48" s="493"/>
      <c r="C48" s="1420"/>
      <c r="D48" s="1420"/>
      <c r="E48" s="494"/>
      <c r="F48" s="495"/>
      <c r="G48" s="197">
        <v>37</v>
      </c>
      <c r="H48" s="493"/>
      <c r="I48" s="1420"/>
      <c r="J48" s="1420"/>
      <c r="K48" s="494"/>
      <c r="L48" s="495"/>
      <c r="M48" s="410">
        <v>37</v>
      </c>
      <c r="N48" s="493"/>
      <c r="O48" s="1420"/>
      <c r="P48" s="1420"/>
      <c r="Q48" s="494"/>
      <c r="R48" s="501"/>
      <c r="S48" s="250">
        <v>37</v>
      </c>
      <c r="T48" s="493"/>
      <c r="U48" s="1420"/>
      <c r="V48" s="1420"/>
      <c r="W48" s="494"/>
      <c r="X48" s="495"/>
      <c r="Y48" s="197">
        <v>37</v>
      </c>
      <c r="Z48" s="493"/>
      <c r="AA48" s="1420"/>
      <c r="AB48" s="1420"/>
      <c r="AC48" s="494"/>
      <c r="AD48" s="495"/>
      <c r="AE48" s="197">
        <v>37</v>
      </c>
      <c r="AF48" s="493"/>
      <c r="AG48" s="1420"/>
      <c r="AH48" s="1420"/>
      <c r="AI48" s="494"/>
      <c r="AJ48" s="501"/>
      <c r="AK48" s="267">
        <v>37</v>
      </c>
      <c r="AL48" s="493"/>
      <c r="AM48" s="1420"/>
      <c r="AN48" s="1420"/>
      <c r="AO48" s="494"/>
      <c r="AP48" s="495"/>
      <c r="AQ48" s="197">
        <v>37</v>
      </c>
      <c r="AR48" s="493"/>
      <c r="AS48" s="1420"/>
      <c r="AT48" s="1420"/>
      <c r="AU48" s="494"/>
      <c r="AV48" s="495"/>
      <c r="AW48" s="410">
        <v>37</v>
      </c>
      <c r="AX48" s="493"/>
      <c r="AY48" s="1420"/>
      <c r="AZ48" s="1420"/>
      <c r="BA48" s="494"/>
      <c r="BB48" s="504"/>
    </row>
    <row r="49" spans="1:54" x14ac:dyDescent="0.25">
      <c r="A49" s="267">
        <v>38</v>
      </c>
      <c r="B49" s="493"/>
      <c r="C49" s="1420"/>
      <c r="D49" s="1420"/>
      <c r="E49" s="494"/>
      <c r="F49" s="495"/>
      <c r="G49" s="197">
        <v>38</v>
      </c>
      <c r="H49" s="493"/>
      <c r="I49" s="1420"/>
      <c r="J49" s="1420"/>
      <c r="K49" s="494"/>
      <c r="L49" s="495"/>
      <c r="M49" s="410">
        <v>38</v>
      </c>
      <c r="N49" s="493"/>
      <c r="O49" s="1420"/>
      <c r="P49" s="1420"/>
      <c r="Q49" s="494"/>
      <c r="R49" s="501"/>
      <c r="S49" s="250">
        <v>38</v>
      </c>
      <c r="T49" s="493"/>
      <c r="U49" s="1420"/>
      <c r="V49" s="1420"/>
      <c r="W49" s="494"/>
      <c r="X49" s="495"/>
      <c r="Y49" s="197">
        <v>38</v>
      </c>
      <c r="Z49" s="493"/>
      <c r="AA49" s="1420"/>
      <c r="AB49" s="1420"/>
      <c r="AC49" s="494"/>
      <c r="AD49" s="495"/>
      <c r="AE49" s="197">
        <v>38</v>
      </c>
      <c r="AF49" s="493"/>
      <c r="AG49" s="1420"/>
      <c r="AH49" s="1420"/>
      <c r="AI49" s="494"/>
      <c r="AJ49" s="501"/>
      <c r="AK49" s="267">
        <v>38</v>
      </c>
      <c r="AL49" s="493"/>
      <c r="AM49" s="1420"/>
      <c r="AN49" s="1420"/>
      <c r="AO49" s="494"/>
      <c r="AP49" s="495"/>
      <c r="AQ49" s="197">
        <v>38</v>
      </c>
      <c r="AR49" s="493"/>
      <c r="AS49" s="1420"/>
      <c r="AT49" s="1420"/>
      <c r="AU49" s="494"/>
      <c r="AV49" s="495"/>
      <c r="AW49" s="410">
        <v>38</v>
      </c>
      <c r="AX49" s="493"/>
      <c r="AY49" s="1420"/>
      <c r="AZ49" s="1420"/>
      <c r="BA49" s="494"/>
      <c r="BB49" s="504"/>
    </row>
    <row r="50" spans="1:54" x14ac:dyDescent="0.25">
      <c r="A50" s="267">
        <v>39</v>
      </c>
      <c r="B50" s="493"/>
      <c r="C50" s="1420"/>
      <c r="D50" s="1420"/>
      <c r="E50" s="494"/>
      <c r="F50" s="495"/>
      <c r="G50" s="197">
        <v>39</v>
      </c>
      <c r="H50" s="493"/>
      <c r="I50" s="1420"/>
      <c r="J50" s="1420"/>
      <c r="K50" s="494"/>
      <c r="L50" s="495"/>
      <c r="M50" s="410">
        <v>39</v>
      </c>
      <c r="N50" s="493"/>
      <c r="O50" s="1420"/>
      <c r="P50" s="1420"/>
      <c r="Q50" s="494"/>
      <c r="R50" s="501"/>
      <c r="S50" s="250">
        <v>39</v>
      </c>
      <c r="T50" s="493"/>
      <c r="U50" s="1420"/>
      <c r="V50" s="1420"/>
      <c r="W50" s="494"/>
      <c r="X50" s="495"/>
      <c r="Y50" s="197">
        <v>39</v>
      </c>
      <c r="Z50" s="493"/>
      <c r="AA50" s="1420"/>
      <c r="AB50" s="1420"/>
      <c r="AC50" s="494"/>
      <c r="AD50" s="495"/>
      <c r="AE50" s="197">
        <v>39</v>
      </c>
      <c r="AF50" s="493"/>
      <c r="AG50" s="1420"/>
      <c r="AH50" s="1420"/>
      <c r="AI50" s="494"/>
      <c r="AJ50" s="501"/>
      <c r="AK50" s="267">
        <v>39</v>
      </c>
      <c r="AL50" s="493"/>
      <c r="AM50" s="1420"/>
      <c r="AN50" s="1420"/>
      <c r="AO50" s="494"/>
      <c r="AP50" s="495"/>
      <c r="AQ50" s="197">
        <v>39</v>
      </c>
      <c r="AR50" s="493"/>
      <c r="AS50" s="1420"/>
      <c r="AT50" s="1420"/>
      <c r="AU50" s="494"/>
      <c r="AV50" s="495"/>
      <c r="AW50" s="410">
        <v>39</v>
      </c>
      <c r="AX50" s="493"/>
      <c r="AY50" s="1420"/>
      <c r="AZ50" s="1420"/>
      <c r="BA50" s="494"/>
      <c r="BB50" s="504"/>
    </row>
    <row r="51" spans="1:54" x14ac:dyDescent="0.25">
      <c r="A51" s="267">
        <v>40</v>
      </c>
      <c r="B51" s="493"/>
      <c r="C51" s="1420"/>
      <c r="D51" s="1420"/>
      <c r="E51" s="494"/>
      <c r="F51" s="495"/>
      <c r="G51" s="197">
        <v>40</v>
      </c>
      <c r="H51" s="493"/>
      <c r="I51" s="1420"/>
      <c r="J51" s="1420"/>
      <c r="K51" s="494"/>
      <c r="L51" s="495"/>
      <c r="M51" s="410">
        <v>40</v>
      </c>
      <c r="N51" s="493"/>
      <c r="O51" s="1420"/>
      <c r="P51" s="1420"/>
      <c r="Q51" s="494"/>
      <c r="R51" s="501"/>
      <c r="S51" s="250">
        <v>40</v>
      </c>
      <c r="T51" s="493"/>
      <c r="U51" s="1420"/>
      <c r="V51" s="1420"/>
      <c r="W51" s="494"/>
      <c r="X51" s="495"/>
      <c r="Y51" s="197">
        <v>40</v>
      </c>
      <c r="Z51" s="493"/>
      <c r="AA51" s="1420"/>
      <c r="AB51" s="1420"/>
      <c r="AC51" s="494"/>
      <c r="AD51" s="495"/>
      <c r="AE51" s="197">
        <v>40</v>
      </c>
      <c r="AF51" s="493"/>
      <c r="AG51" s="1420"/>
      <c r="AH51" s="1420"/>
      <c r="AI51" s="494"/>
      <c r="AJ51" s="501"/>
      <c r="AK51" s="267">
        <v>40</v>
      </c>
      <c r="AL51" s="493"/>
      <c r="AM51" s="1420"/>
      <c r="AN51" s="1420"/>
      <c r="AO51" s="494"/>
      <c r="AP51" s="495"/>
      <c r="AQ51" s="197">
        <v>40</v>
      </c>
      <c r="AR51" s="493"/>
      <c r="AS51" s="1420"/>
      <c r="AT51" s="1420"/>
      <c r="AU51" s="494"/>
      <c r="AV51" s="495"/>
      <c r="AW51" s="410">
        <v>40</v>
      </c>
      <c r="AX51" s="493"/>
      <c r="AY51" s="1420"/>
      <c r="AZ51" s="1420"/>
      <c r="BA51" s="494"/>
      <c r="BB51" s="504"/>
    </row>
    <row r="52" spans="1:54" x14ac:dyDescent="0.25">
      <c r="A52" s="267">
        <v>41</v>
      </c>
      <c r="B52" s="493"/>
      <c r="C52" s="1420"/>
      <c r="D52" s="1420"/>
      <c r="E52" s="494"/>
      <c r="F52" s="495"/>
      <c r="G52" s="197">
        <v>41</v>
      </c>
      <c r="H52" s="493"/>
      <c r="I52" s="1420"/>
      <c r="J52" s="1420"/>
      <c r="K52" s="494"/>
      <c r="L52" s="495"/>
      <c r="M52" s="410">
        <v>41</v>
      </c>
      <c r="N52" s="493"/>
      <c r="O52" s="1420"/>
      <c r="P52" s="1420"/>
      <c r="Q52" s="494"/>
      <c r="R52" s="501"/>
      <c r="S52" s="250">
        <v>41</v>
      </c>
      <c r="T52" s="493"/>
      <c r="U52" s="1420"/>
      <c r="V52" s="1420"/>
      <c r="W52" s="494"/>
      <c r="X52" s="495"/>
      <c r="Y52" s="197">
        <v>41</v>
      </c>
      <c r="Z52" s="493"/>
      <c r="AA52" s="1420"/>
      <c r="AB52" s="1420"/>
      <c r="AC52" s="494"/>
      <c r="AD52" s="495"/>
      <c r="AE52" s="197">
        <v>41</v>
      </c>
      <c r="AF52" s="493"/>
      <c r="AG52" s="1420"/>
      <c r="AH52" s="1420"/>
      <c r="AI52" s="494"/>
      <c r="AJ52" s="501"/>
      <c r="AK52" s="267">
        <v>41</v>
      </c>
      <c r="AL52" s="493"/>
      <c r="AM52" s="1420"/>
      <c r="AN52" s="1420"/>
      <c r="AO52" s="494"/>
      <c r="AP52" s="495"/>
      <c r="AQ52" s="197">
        <v>41</v>
      </c>
      <c r="AR52" s="493"/>
      <c r="AS52" s="1420"/>
      <c r="AT52" s="1420"/>
      <c r="AU52" s="494"/>
      <c r="AV52" s="495"/>
      <c r="AW52" s="410">
        <v>41</v>
      </c>
      <c r="AX52" s="493"/>
      <c r="AY52" s="1420"/>
      <c r="AZ52" s="1420"/>
      <c r="BA52" s="494"/>
      <c r="BB52" s="504"/>
    </row>
    <row r="53" spans="1:54" x14ac:dyDescent="0.25">
      <c r="A53" s="267">
        <v>42</v>
      </c>
      <c r="B53" s="493"/>
      <c r="C53" s="1420"/>
      <c r="D53" s="1420"/>
      <c r="E53" s="494"/>
      <c r="F53" s="495"/>
      <c r="G53" s="197">
        <v>42</v>
      </c>
      <c r="H53" s="493"/>
      <c r="I53" s="1420"/>
      <c r="J53" s="1420"/>
      <c r="K53" s="494"/>
      <c r="L53" s="495"/>
      <c r="M53" s="410">
        <v>42</v>
      </c>
      <c r="N53" s="493"/>
      <c r="O53" s="1420"/>
      <c r="P53" s="1420"/>
      <c r="Q53" s="494"/>
      <c r="R53" s="501"/>
      <c r="S53" s="250">
        <v>42</v>
      </c>
      <c r="T53" s="493"/>
      <c r="U53" s="1420"/>
      <c r="V53" s="1420"/>
      <c r="W53" s="494"/>
      <c r="X53" s="495"/>
      <c r="Y53" s="197">
        <v>42</v>
      </c>
      <c r="Z53" s="493"/>
      <c r="AA53" s="1420"/>
      <c r="AB53" s="1420"/>
      <c r="AC53" s="494"/>
      <c r="AD53" s="495"/>
      <c r="AE53" s="197">
        <v>42</v>
      </c>
      <c r="AF53" s="493"/>
      <c r="AG53" s="1420"/>
      <c r="AH53" s="1420"/>
      <c r="AI53" s="494"/>
      <c r="AJ53" s="501"/>
      <c r="AK53" s="267">
        <v>42</v>
      </c>
      <c r="AL53" s="493"/>
      <c r="AM53" s="1420"/>
      <c r="AN53" s="1420"/>
      <c r="AO53" s="494"/>
      <c r="AP53" s="495"/>
      <c r="AQ53" s="197">
        <v>42</v>
      </c>
      <c r="AR53" s="493"/>
      <c r="AS53" s="1420"/>
      <c r="AT53" s="1420"/>
      <c r="AU53" s="494"/>
      <c r="AV53" s="495"/>
      <c r="AW53" s="410">
        <v>42</v>
      </c>
      <c r="AX53" s="493"/>
      <c r="AY53" s="1420"/>
      <c r="AZ53" s="1420"/>
      <c r="BA53" s="494"/>
      <c r="BB53" s="504"/>
    </row>
    <row r="54" spans="1:54" x14ac:dyDescent="0.25">
      <c r="A54" s="267">
        <v>43</v>
      </c>
      <c r="B54" s="493"/>
      <c r="C54" s="1420"/>
      <c r="D54" s="1420"/>
      <c r="E54" s="494"/>
      <c r="F54" s="495"/>
      <c r="G54" s="197">
        <v>43</v>
      </c>
      <c r="H54" s="493"/>
      <c r="I54" s="1420"/>
      <c r="J54" s="1420"/>
      <c r="K54" s="494"/>
      <c r="L54" s="495"/>
      <c r="M54" s="410">
        <v>43</v>
      </c>
      <c r="N54" s="493"/>
      <c r="O54" s="1420"/>
      <c r="P54" s="1420"/>
      <c r="Q54" s="494"/>
      <c r="R54" s="501"/>
      <c r="S54" s="250">
        <v>43</v>
      </c>
      <c r="T54" s="493"/>
      <c r="U54" s="1420"/>
      <c r="V54" s="1420"/>
      <c r="W54" s="494"/>
      <c r="X54" s="495"/>
      <c r="Y54" s="197">
        <v>43</v>
      </c>
      <c r="Z54" s="493"/>
      <c r="AA54" s="1420"/>
      <c r="AB54" s="1420"/>
      <c r="AC54" s="494"/>
      <c r="AD54" s="495"/>
      <c r="AE54" s="197">
        <v>43</v>
      </c>
      <c r="AF54" s="493"/>
      <c r="AG54" s="1420"/>
      <c r="AH54" s="1420"/>
      <c r="AI54" s="494"/>
      <c r="AJ54" s="501"/>
      <c r="AK54" s="267">
        <v>43</v>
      </c>
      <c r="AL54" s="493"/>
      <c r="AM54" s="1420"/>
      <c r="AN54" s="1420"/>
      <c r="AO54" s="494"/>
      <c r="AP54" s="495"/>
      <c r="AQ54" s="197">
        <v>43</v>
      </c>
      <c r="AR54" s="493"/>
      <c r="AS54" s="1420"/>
      <c r="AT54" s="1420"/>
      <c r="AU54" s="494"/>
      <c r="AV54" s="495"/>
      <c r="AW54" s="410">
        <v>43</v>
      </c>
      <c r="AX54" s="493"/>
      <c r="AY54" s="1420"/>
      <c r="AZ54" s="1420"/>
      <c r="BA54" s="494"/>
      <c r="BB54" s="504"/>
    </row>
    <row r="55" spans="1:54" x14ac:dyDescent="0.25">
      <c r="A55" s="267">
        <v>44</v>
      </c>
      <c r="B55" s="493"/>
      <c r="C55" s="1420"/>
      <c r="D55" s="1420"/>
      <c r="E55" s="494"/>
      <c r="F55" s="495"/>
      <c r="G55" s="197">
        <v>44</v>
      </c>
      <c r="H55" s="493"/>
      <c r="I55" s="1420"/>
      <c r="J55" s="1420"/>
      <c r="K55" s="494"/>
      <c r="L55" s="495"/>
      <c r="M55" s="410">
        <v>44</v>
      </c>
      <c r="N55" s="493"/>
      <c r="O55" s="1420"/>
      <c r="P55" s="1420"/>
      <c r="Q55" s="494"/>
      <c r="R55" s="501"/>
      <c r="S55" s="250">
        <v>44</v>
      </c>
      <c r="T55" s="493"/>
      <c r="U55" s="1420"/>
      <c r="V55" s="1420"/>
      <c r="W55" s="494"/>
      <c r="X55" s="495"/>
      <c r="Y55" s="197">
        <v>44</v>
      </c>
      <c r="Z55" s="493"/>
      <c r="AA55" s="1420"/>
      <c r="AB55" s="1420"/>
      <c r="AC55" s="494"/>
      <c r="AD55" s="495"/>
      <c r="AE55" s="197">
        <v>44</v>
      </c>
      <c r="AF55" s="493"/>
      <c r="AG55" s="1420"/>
      <c r="AH55" s="1420"/>
      <c r="AI55" s="494"/>
      <c r="AJ55" s="501"/>
      <c r="AK55" s="267">
        <v>44</v>
      </c>
      <c r="AL55" s="493"/>
      <c r="AM55" s="1420"/>
      <c r="AN55" s="1420"/>
      <c r="AO55" s="494"/>
      <c r="AP55" s="495"/>
      <c r="AQ55" s="197">
        <v>44</v>
      </c>
      <c r="AR55" s="493"/>
      <c r="AS55" s="1420"/>
      <c r="AT55" s="1420"/>
      <c r="AU55" s="494"/>
      <c r="AV55" s="495"/>
      <c r="AW55" s="410">
        <v>44</v>
      </c>
      <c r="AX55" s="493"/>
      <c r="AY55" s="1420"/>
      <c r="AZ55" s="1420"/>
      <c r="BA55" s="494"/>
      <c r="BB55" s="504"/>
    </row>
    <row r="56" spans="1:54" x14ac:dyDescent="0.25">
      <c r="A56" s="267">
        <v>45</v>
      </c>
      <c r="B56" s="493"/>
      <c r="C56" s="1420"/>
      <c r="D56" s="1420"/>
      <c r="E56" s="494"/>
      <c r="F56" s="495"/>
      <c r="G56" s="197">
        <v>45</v>
      </c>
      <c r="H56" s="493"/>
      <c r="I56" s="1420"/>
      <c r="J56" s="1420"/>
      <c r="K56" s="494"/>
      <c r="L56" s="495"/>
      <c r="M56" s="410">
        <v>45</v>
      </c>
      <c r="N56" s="493"/>
      <c r="O56" s="1420"/>
      <c r="P56" s="1420"/>
      <c r="Q56" s="494"/>
      <c r="R56" s="501"/>
      <c r="S56" s="250">
        <v>45</v>
      </c>
      <c r="T56" s="493"/>
      <c r="U56" s="1420"/>
      <c r="V56" s="1420"/>
      <c r="W56" s="494"/>
      <c r="X56" s="495"/>
      <c r="Y56" s="197">
        <v>45</v>
      </c>
      <c r="Z56" s="493"/>
      <c r="AA56" s="1420"/>
      <c r="AB56" s="1420"/>
      <c r="AC56" s="494"/>
      <c r="AD56" s="495"/>
      <c r="AE56" s="197">
        <v>45</v>
      </c>
      <c r="AF56" s="493"/>
      <c r="AG56" s="1420"/>
      <c r="AH56" s="1420"/>
      <c r="AI56" s="494"/>
      <c r="AJ56" s="501"/>
      <c r="AK56" s="267">
        <v>45</v>
      </c>
      <c r="AL56" s="493"/>
      <c r="AM56" s="1420"/>
      <c r="AN56" s="1420"/>
      <c r="AO56" s="494"/>
      <c r="AP56" s="495"/>
      <c r="AQ56" s="197">
        <v>45</v>
      </c>
      <c r="AR56" s="493"/>
      <c r="AS56" s="1420"/>
      <c r="AT56" s="1420"/>
      <c r="AU56" s="494"/>
      <c r="AV56" s="495"/>
      <c r="AW56" s="410">
        <v>45</v>
      </c>
      <c r="AX56" s="493"/>
      <c r="AY56" s="1420"/>
      <c r="AZ56" s="1420"/>
      <c r="BA56" s="494"/>
      <c r="BB56" s="504"/>
    </row>
    <row r="57" spans="1:54" x14ac:dyDescent="0.25">
      <c r="A57" s="267">
        <v>46</v>
      </c>
      <c r="B57" s="493"/>
      <c r="C57" s="1420"/>
      <c r="D57" s="1420"/>
      <c r="E57" s="494"/>
      <c r="F57" s="495"/>
      <c r="G57" s="197">
        <v>46</v>
      </c>
      <c r="H57" s="493"/>
      <c r="I57" s="1420"/>
      <c r="J57" s="1420"/>
      <c r="K57" s="494"/>
      <c r="L57" s="495"/>
      <c r="M57" s="410">
        <v>46</v>
      </c>
      <c r="N57" s="493"/>
      <c r="O57" s="1420"/>
      <c r="P57" s="1420"/>
      <c r="Q57" s="494"/>
      <c r="R57" s="501"/>
      <c r="S57" s="250">
        <v>46</v>
      </c>
      <c r="T57" s="493"/>
      <c r="U57" s="1420"/>
      <c r="V57" s="1420"/>
      <c r="W57" s="494"/>
      <c r="X57" s="495"/>
      <c r="Y57" s="197">
        <v>46</v>
      </c>
      <c r="Z57" s="493"/>
      <c r="AA57" s="1420"/>
      <c r="AB57" s="1420"/>
      <c r="AC57" s="494"/>
      <c r="AD57" s="495"/>
      <c r="AE57" s="197">
        <v>46</v>
      </c>
      <c r="AF57" s="493"/>
      <c r="AG57" s="1420"/>
      <c r="AH57" s="1420"/>
      <c r="AI57" s="494"/>
      <c r="AJ57" s="501"/>
      <c r="AK57" s="267">
        <v>46</v>
      </c>
      <c r="AL57" s="493"/>
      <c r="AM57" s="1420"/>
      <c r="AN57" s="1420"/>
      <c r="AO57" s="494"/>
      <c r="AP57" s="495"/>
      <c r="AQ57" s="197">
        <v>46</v>
      </c>
      <c r="AR57" s="493"/>
      <c r="AS57" s="1420"/>
      <c r="AT57" s="1420"/>
      <c r="AU57" s="494"/>
      <c r="AV57" s="495"/>
      <c r="AW57" s="410">
        <v>46</v>
      </c>
      <c r="AX57" s="493"/>
      <c r="AY57" s="1420"/>
      <c r="AZ57" s="1420"/>
      <c r="BA57" s="494"/>
      <c r="BB57" s="504"/>
    </row>
    <row r="58" spans="1:54" x14ac:dyDescent="0.25">
      <c r="A58" s="267">
        <v>47</v>
      </c>
      <c r="B58" s="493"/>
      <c r="C58" s="1420"/>
      <c r="D58" s="1420"/>
      <c r="E58" s="494"/>
      <c r="F58" s="495"/>
      <c r="G58" s="197">
        <v>47</v>
      </c>
      <c r="H58" s="493"/>
      <c r="I58" s="1420"/>
      <c r="J58" s="1420"/>
      <c r="K58" s="494"/>
      <c r="L58" s="495"/>
      <c r="M58" s="410">
        <v>47</v>
      </c>
      <c r="N58" s="493"/>
      <c r="O58" s="1420"/>
      <c r="P58" s="1420"/>
      <c r="Q58" s="494"/>
      <c r="R58" s="501"/>
      <c r="S58" s="250">
        <v>47</v>
      </c>
      <c r="T58" s="493"/>
      <c r="U58" s="1420"/>
      <c r="V58" s="1420"/>
      <c r="W58" s="494"/>
      <c r="X58" s="495"/>
      <c r="Y58" s="197">
        <v>47</v>
      </c>
      <c r="Z58" s="493"/>
      <c r="AA58" s="1420"/>
      <c r="AB58" s="1420"/>
      <c r="AC58" s="494"/>
      <c r="AD58" s="495"/>
      <c r="AE58" s="197">
        <v>47</v>
      </c>
      <c r="AF58" s="493"/>
      <c r="AG58" s="1420"/>
      <c r="AH58" s="1420"/>
      <c r="AI58" s="494"/>
      <c r="AJ58" s="501"/>
      <c r="AK58" s="267">
        <v>47</v>
      </c>
      <c r="AL58" s="493"/>
      <c r="AM58" s="1420"/>
      <c r="AN58" s="1420"/>
      <c r="AO58" s="494"/>
      <c r="AP58" s="495"/>
      <c r="AQ58" s="197">
        <v>47</v>
      </c>
      <c r="AR58" s="493"/>
      <c r="AS58" s="1420"/>
      <c r="AT58" s="1420"/>
      <c r="AU58" s="494"/>
      <c r="AV58" s="495"/>
      <c r="AW58" s="410">
        <v>47</v>
      </c>
      <c r="AX58" s="493"/>
      <c r="AY58" s="1420"/>
      <c r="AZ58" s="1420"/>
      <c r="BA58" s="494"/>
      <c r="BB58" s="504"/>
    </row>
    <row r="59" spans="1:54" x14ac:dyDescent="0.25">
      <c r="A59" s="267">
        <v>48</v>
      </c>
      <c r="B59" s="493"/>
      <c r="C59" s="1420"/>
      <c r="D59" s="1420"/>
      <c r="E59" s="494"/>
      <c r="F59" s="495"/>
      <c r="G59" s="197">
        <v>48</v>
      </c>
      <c r="H59" s="493"/>
      <c r="I59" s="1420"/>
      <c r="J59" s="1420"/>
      <c r="K59" s="494"/>
      <c r="L59" s="495"/>
      <c r="M59" s="410">
        <v>48</v>
      </c>
      <c r="N59" s="493"/>
      <c r="O59" s="1420"/>
      <c r="P59" s="1420"/>
      <c r="Q59" s="494"/>
      <c r="R59" s="501"/>
      <c r="S59" s="250">
        <v>48</v>
      </c>
      <c r="T59" s="493"/>
      <c r="U59" s="1420"/>
      <c r="V59" s="1420"/>
      <c r="W59" s="494"/>
      <c r="X59" s="495"/>
      <c r="Y59" s="197">
        <v>48</v>
      </c>
      <c r="Z59" s="493"/>
      <c r="AA59" s="1420"/>
      <c r="AB59" s="1420"/>
      <c r="AC59" s="494"/>
      <c r="AD59" s="495"/>
      <c r="AE59" s="197">
        <v>48</v>
      </c>
      <c r="AF59" s="493"/>
      <c r="AG59" s="1420"/>
      <c r="AH59" s="1420"/>
      <c r="AI59" s="494"/>
      <c r="AJ59" s="501"/>
      <c r="AK59" s="267">
        <v>48</v>
      </c>
      <c r="AL59" s="493"/>
      <c r="AM59" s="1420"/>
      <c r="AN59" s="1420"/>
      <c r="AO59" s="494"/>
      <c r="AP59" s="495"/>
      <c r="AQ59" s="197">
        <v>48</v>
      </c>
      <c r="AR59" s="493"/>
      <c r="AS59" s="1420"/>
      <c r="AT59" s="1420"/>
      <c r="AU59" s="494"/>
      <c r="AV59" s="495"/>
      <c r="AW59" s="410">
        <v>48</v>
      </c>
      <c r="AX59" s="493"/>
      <c r="AY59" s="1420"/>
      <c r="AZ59" s="1420"/>
      <c r="BA59" s="494"/>
      <c r="BB59" s="504"/>
    </row>
    <row r="60" spans="1:54" x14ac:dyDescent="0.25">
      <c r="A60" s="267">
        <v>49</v>
      </c>
      <c r="B60" s="493"/>
      <c r="C60" s="1420"/>
      <c r="D60" s="1420"/>
      <c r="E60" s="494"/>
      <c r="F60" s="495"/>
      <c r="G60" s="197">
        <v>49</v>
      </c>
      <c r="H60" s="493"/>
      <c r="I60" s="1420"/>
      <c r="J60" s="1420"/>
      <c r="K60" s="494"/>
      <c r="L60" s="495"/>
      <c r="M60" s="410">
        <v>49</v>
      </c>
      <c r="N60" s="493"/>
      <c r="O60" s="1420"/>
      <c r="P60" s="1420"/>
      <c r="Q60" s="494"/>
      <c r="R60" s="501"/>
      <c r="S60" s="250">
        <v>49</v>
      </c>
      <c r="T60" s="493"/>
      <c r="U60" s="1420"/>
      <c r="V60" s="1420"/>
      <c r="W60" s="494"/>
      <c r="X60" s="495"/>
      <c r="Y60" s="197">
        <v>49</v>
      </c>
      <c r="Z60" s="493"/>
      <c r="AA60" s="1420"/>
      <c r="AB60" s="1420"/>
      <c r="AC60" s="494"/>
      <c r="AD60" s="495"/>
      <c r="AE60" s="197">
        <v>49</v>
      </c>
      <c r="AF60" s="493"/>
      <c r="AG60" s="1420"/>
      <c r="AH60" s="1420"/>
      <c r="AI60" s="494"/>
      <c r="AJ60" s="501"/>
      <c r="AK60" s="267">
        <v>49</v>
      </c>
      <c r="AL60" s="493"/>
      <c r="AM60" s="1420"/>
      <c r="AN60" s="1420"/>
      <c r="AO60" s="494"/>
      <c r="AP60" s="495"/>
      <c r="AQ60" s="197">
        <v>49</v>
      </c>
      <c r="AR60" s="493"/>
      <c r="AS60" s="1420"/>
      <c r="AT60" s="1420"/>
      <c r="AU60" s="494"/>
      <c r="AV60" s="495"/>
      <c r="AW60" s="410">
        <v>49</v>
      </c>
      <c r="AX60" s="493"/>
      <c r="AY60" s="1420"/>
      <c r="AZ60" s="1420"/>
      <c r="BA60" s="494"/>
      <c r="BB60" s="504"/>
    </row>
    <row r="61" spans="1:54" x14ac:dyDescent="0.25">
      <c r="A61" s="267">
        <v>50</v>
      </c>
      <c r="B61" s="493"/>
      <c r="C61" s="1420"/>
      <c r="D61" s="1420"/>
      <c r="E61" s="494"/>
      <c r="F61" s="495"/>
      <c r="G61" s="197">
        <v>50</v>
      </c>
      <c r="H61" s="493"/>
      <c r="I61" s="1420"/>
      <c r="J61" s="1420"/>
      <c r="K61" s="494"/>
      <c r="L61" s="495"/>
      <c r="M61" s="410">
        <v>50</v>
      </c>
      <c r="N61" s="493"/>
      <c r="O61" s="1420"/>
      <c r="P61" s="1420"/>
      <c r="Q61" s="494"/>
      <c r="R61" s="501"/>
      <c r="S61" s="250">
        <v>50</v>
      </c>
      <c r="T61" s="493"/>
      <c r="U61" s="1420"/>
      <c r="V61" s="1420"/>
      <c r="W61" s="494"/>
      <c r="X61" s="495"/>
      <c r="Y61" s="197">
        <v>50</v>
      </c>
      <c r="Z61" s="493"/>
      <c r="AA61" s="1420"/>
      <c r="AB61" s="1420"/>
      <c r="AC61" s="494"/>
      <c r="AD61" s="495"/>
      <c r="AE61" s="197">
        <v>50</v>
      </c>
      <c r="AF61" s="493"/>
      <c r="AG61" s="1420"/>
      <c r="AH61" s="1420"/>
      <c r="AI61" s="494"/>
      <c r="AJ61" s="501"/>
      <c r="AK61" s="267">
        <v>50</v>
      </c>
      <c r="AL61" s="493"/>
      <c r="AM61" s="1420"/>
      <c r="AN61" s="1420"/>
      <c r="AO61" s="494"/>
      <c r="AP61" s="495"/>
      <c r="AQ61" s="197">
        <v>50</v>
      </c>
      <c r="AR61" s="493"/>
      <c r="AS61" s="1420"/>
      <c r="AT61" s="1420"/>
      <c r="AU61" s="494"/>
      <c r="AV61" s="495"/>
      <c r="AW61" s="410">
        <v>50</v>
      </c>
      <c r="AX61" s="493"/>
      <c r="AY61" s="1420"/>
      <c r="AZ61" s="1420"/>
      <c r="BA61" s="494"/>
      <c r="BB61" s="504"/>
    </row>
    <row r="62" spans="1:54" s="240" customFormat="1" x14ac:dyDescent="0.25">
      <c r="A62" s="267">
        <v>51</v>
      </c>
      <c r="B62" s="493"/>
      <c r="C62" s="1420"/>
      <c r="D62" s="1420"/>
      <c r="E62" s="494"/>
      <c r="F62" s="495"/>
      <c r="G62" s="197">
        <v>51</v>
      </c>
      <c r="H62" s="493"/>
      <c r="I62" s="1420"/>
      <c r="J62" s="1420"/>
      <c r="K62" s="494"/>
      <c r="L62" s="495"/>
      <c r="M62" s="410">
        <v>51</v>
      </c>
      <c r="N62" s="493"/>
      <c r="O62" s="1420"/>
      <c r="P62" s="1420"/>
      <c r="Q62" s="494"/>
      <c r="R62" s="501"/>
      <c r="S62" s="250">
        <v>51</v>
      </c>
      <c r="T62" s="493"/>
      <c r="U62" s="1420"/>
      <c r="V62" s="1420"/>
      <c r="W62" s="494"/>
      <c r="X62" s="495"/>
      <c r="Y62" s="197">
        <v>51</v>
      </c>
      <c r="Z62" s="493"/>
      <c r="AA62" s="1420"/>
      <c r="AB62" s="1420"/>
      <c r="AC62" s="494"/>
      <c r="AD62" s="495"/>
      <c r="AE62" s="197">
        <v>51</v>
      </c>
      <c r="AF62" s="493"/>
      <c r="AG62" s="1420"/>
      <c r="AH62" s="1420"/>
      <c r="AI62" s="494"/>
      <c r="AJ62" s="501"/>
      <c r="AK62" s="267">
        <v>51</v>
      </c>
      <c r="AL62" s="493"/>
      <c r="AM62" s="1420"/>
      <c r="AN62" s="1420"/>
      <c r="AO62" s="494"/>
      <c r="AP62" s="495"/>
      <c r="AQ62" s="197">
        <v>51</v>
      </c>
      <c r="AR62" s="493"/>
      <c r="AS62" s="1420"/>
      <c r="AT62" s="1420"/>
      <c r="AU62" s="494"/>
      <c r="AV62" s="495"/>
      <c r="AW62" s="410">
        <v>51</v>
      </c>
      <c r="AX62" s="493"/>
      <c r="AY62" s="1420"/>
      <c r="AZ62" s="1420"/>
      <c r="BA62" s="494"/>
      <c r="BB62" s="504"/>
    </row>
    <row r="63" spans="1:54" s="240" customFormat="1" x14ac:dyDescent="0.25">
      <c r="A63" s="267">
        <v>52</v>
      </c>
      <c r="B63" s="493"/>
      <c r="C63" s="1420"/>
      <c r="D63" s="1420"/>
      <c r="E63" s="494"/>
      <c r="F63" s="495"/>
      <c r="G63" s="197">
        <v>52</v>
      </c>
      <c r="H63" s="493"/>
      <c r="I63" s="1420"/>
      <c r="J63" s="1420"/>
      <c r="K63" s="494"/>
      <c r="L63" s="495"/>
      <c r="M63" s="410">
        <v>52</v>
      </c>
      <c r="N63" s="493"/>
      <c r="O63" s="1420"/>
      <c r="P63" s="1420"/>
      <c r="Q63" s="494"/>
      <c r="R63" s="501"/>
      <c r="S63" s="250">
        <v>52</v>
      </c>
      <c r="T63" s="493"/>
      <c r="U63" s="1420"/>
      <c r="V63" s="1420"/>
      <c r="W63" s="494"/>
      <c r="X63" s="495"/>
      <c r="Y63" s="197">
        <v>52</v>
      </c>
      <c r="Z63" s="493"/>
      <c r="AA63" s="1420"/>
      <c r="AB63" s="1420"/>
      <c r="AC63" s="494"/>
      <c r="AD63" s="495"/>
      <c r="AE63" s="197">
        <v>52</v>
      </c>
      <c r="AF63" s="493"/>
      <c r="AG63" s="1420"/>
      <c r="AH63" s="1420"/>
      <c r="AI63" s="494"/>
      <c r="AJ63" s="501"/>
      <c r="AK63" s="267">
        <v>52</v>
      </c>
      <c r="AL63" s="493"/>
      <c r="AM63" s="1420"/>
      <c r="AN63" s="1420"/>
      <c r="AO63" s="494"/>
      <c r="AP63" s="495"/>
      <c r="AQ63" s="197">
        <v>52</v>
      </c>
      <c r="AR63" s="493"/>
      <c r="AS63" s="1420"/>
      <c r="AT63" s="1420"/>
      <c r="AU63" s="494"/>
      <c r="AV63" s="495"/>
      <c r="AW63" s="410">
        <v>52</v>
      </c>
      <c r="AX63" s="493"/>
      <c r="AY63" s="1420"/>
      <c r="AZ63" s="1420"/>
      <c r="BA63" s="494"/>
      <c r="BB63" s="504"/>
    </row>
    <row r="64" spans="1:54" s="240" customFormat="1" x14ac:dyDescent="0.25">
      <c r="A64" s="267">
        <v>53</v>
      </c>
      <c r="B64" s="493"/>
      <c r="C64" s="1420"/>
      <c r="D64" s="1420"/>
      <c r="E64" s="494"/>
      <c r="F64" s="495"/>
      <c r="G64" s="197">
        <v>53</v>
      </c>
      <c r="H64" s="493"/>
      <c r="I64" s="1420"/>
      <c r="J64" s="1420"/>
      <c r="K64" s="494"/>
      <c r="L64" s="495"/>
      <c r="M64" s="410">
        <v>53</v>
      </c>
      <c r="N64" s="493"/>
      <c r="O64" s="1420"/>
      <c r="P64" s="1420"/>
      <c r="Q64" s="494"/>
      <c r="R64" s="501"/>
      <c r="S64" s="250">
        <v>53</v>
      </c>
      <c r="T64" s="493"/>
      <c r="U64" s="1420"/>
      <c r="V64" s="1420"/>
      <c r="W64" s="494"/>
      <c r="X64" s="495"/>
      <c r="Y64" s="197">
        <v>53</v>
      </c>
      <c r="Z64" s="493"/>
      <c r="AA64" s="1420"/>
      <c r="AB64" s="1420"/>
      <c r="AC64" s="494"/>
      <c r="AD64" s="495"/>
      <c r="AE64" s="197">
        <v>53</v>
      </c>
      <c r="AF64" s="493"/>
      <c r="AG64" s="1420"/>
      <c r="AH64" s="1420"/>
      <c r="AI64" s="494"/>
      <c r="AJ64" s="501"/>
      <c r="AK64" s="267">
        <v>53</v>
      </c>
      <c r="AL64" s="493"/>
      <c r="AM64" s="1420"/>
      <c r="AN64" s="1420"/>
      <c r="AO64" s="494"/>
      <c r="AP64" s="495"/>
      <c r="AQ64" s="197">
        <v>53</v>
      </c>
      <c r="AR64" s="493"/>
      <c r="AS64" s="1420"/>
      <c r="AT64" s="1420"/>
      <c r="AU64" s="494"/>
      <c r="AV64" s="495"/>
      <c r="AW64" s="410">
        <v>53</v>
      </c>
      <c r="AX64" s="493"/>
      <c r="AY64" s="1420"/>
      <c r="AZ64" s="1420"/>
      <c r="BA64" s="494"/>
      <c r="BB64" s="504"/>
    </row>
    <row r="65" spans="1:54" s="240" customFormat="1" x14ac:dyDescent="0.25">
      <c r="A65" s="267">
        <v>54</v>
      </c>
      <c r="B65" s="493"/>
      <c r="C65" s="1420"/>
      <c r="D65" s="1420"/>
      <c r="E65" s="494"/>
      <c r="F65" s="495"/>
      <c r="G65" s="197">
        <v>54</v>
      </c>
      <c r="H65" s="493"/>
      <c r="I65" s="1420"/>
      <c r="J65" s="1420"/>
      <c r="K65" s="494"/>
      <c r="L65" s="495"/>
      <c r="M65" s="410">
        <v>54</v>
      </c>
      <c r="N65" s="493"/>
      <c r="O65" s="1420"/>
      <c r="P65" s="1420"/>
      <c r="Q65" s="494"/>
      <c r="R65" s="501"/>
      <c r="S65" s="250">
        <v>54</v>
      </c>
      <c r="T65" s="493"/>
      <c r="U65" s="1420"/>
      <c r="V65" s="1420"/>
      <c r="W65" s="494"/>
      <c r="X65" s="495"/>
      <c r="Y65" s="197">
        <v>54</v>
      </c>
      <c r="Z65" s="493"/>
      <c r="AA65" s="1420"/>
      <c r="AB65" s="1420"/>
      <c r="AC65" s="494"/>
      <c r="AD65" s="495"/>
      <c r="AE65" s="197">
        <v>54</v>
      </c>
      <c r="AF65" s="493"/>
      <c r="AG65" s="1420"/>
      <c r="AH65" s="1420"/>
      <c r="AI65" s="494"/>
      <c r="AJ65" s="501"/>
      <c r="AK65" s="267">
        <v>54</v>
      </c>
      <c r="AL65" s="493"/>
      <c r="AM65" s="1420"/>
      <c r="AN65" s="1420"/>
      <c r="AO65" s="494"/>
      <c r="AP65" s="495"/>
      <c r="AQ65" s="197">
        <v>54</v>
      </c>
      <c r="AR65" s="493"/>
      <c r="AS65" s="1420"/>
      <c r="AT65" s="1420"/>
      <c r="AU65" s="494"/>
      <c r="AV65" s="495"/>
      <c r="AW65" s="410">
        <v>54</v>
      </c>
      <c r="AX65" s="493"/>
      <c r="AY65" s="1420"/>
      <c r="AZ65" s="1420"/>
      <c r="BA65" s="494"/>
      <c r="BB65" s="504"/>
    </row>
    <row r="66" spans="1:54" s="240" customFormat="1" x14ac:dyDescent="0.25">
      <c r="A66" s="267">
        <v>55</v>
      </c>
      <c r="B66" s="493"/>
      <c r="C66" s="1420"/>
      <c r="D66" s="1420"/>
      <c r="E66" s="494"/>
      <c r="F66" s="495"/>
      <c r="G66" s="197">
        <v>55</v>
      </c>
      <c r="H66" s="493"/>
      <c r="I66" s="1420"/>
      <c r="J66" s="1420"/>
      <c r="K66" s="494"/>
      <c r="L66" s="495"/>
      <c r="M66" s="410">
        <v>55</v>
      </c>
      <c r="N66" s="493"/>
      <c r="O66" s="1420"/>
      <c r="P66" s="1420"/>
      <c r="Q66" s="494"/>
      <c r="R66" s="501"/>
      <c r="S66" s="250">
        <v>55</v>
      </c>
      <c r="T66" s="493"/>
      <c r="U66" s="1420"/>
      <c r="V66" s="1420"/>
      <c r="W66" s="494"/>
      <c r="X66" s="495"/>
      <c r="Y66" s="197">
        <v>55</v>
      </c>
      <c r="Z66" s="493"/>
      <c r="AA66" s="1420"/>
      <c r="AB66" s="1420"/>
      <c r="AC66" s="494"/>
      <c r="AD66" s="495"/>
      <c r="AE66" s="197">
        <v>55</v>
      </c>
      <c r="AF66" s="493"/>
      <c r="AG66" s="1420"/>
      <c r="AH66" s="1420"/>
      <c r="AI66" s="494"/>
      <c r="AJ66" s="501"/>
      <c r="AK66" s="267">
        <v>55</v>
      </c>
      <c r="AL66" s="493"/>
      <c r="AM66" s="1420"/>
      <c r="AN66" s="1420"/>
      <c r="AO66" s="494"/>
      <c r="AP66" s="495"/>
      <c r="AQ66" s="197">
        <v>55</v>
      </c>
      <c r="AR66" s="493"/>
      <c r="AS66" s="1420"/>
      <c r="AT66" s="1420"/>
      <c r="AU66" s="494"/>
      <c r="AV66" s="495"/>
      <c r="AW66" s="410">
        <v>55</v>
      </c>
      <c r="AX66" s="493"/>
      <c r="AY66" s="1420"/>
      <c r="AZ66" s="1420"/>
      <c r="BA66" s="494"/>
      <c r="BB66" s="504"/>
    </row>
    <row r="67" spans="1:54" s="240" customFormat="1" x14ac:dyDescent="0.25">
      <c r="A67" s="267">
        <v>56</v>
      </c>
      <c r="B67" s="493"/>
      <c r="C67" s="1420"/>
      <c r="D67" s="1420"/>
      <c r="E67" s="494"/>
      <c r="F67" s="495"/>
      <c r="G67" s="197">
        <v>56</v>
      </c>
      <c r="H67" s="493"/>
      <c r="I67" s="1420"/>
      <c r="J67" s="1420"/>
      <c r="K67" s="494"/>
      <c r="L67" s="495"/>
      <c r="M67" s="410">
        <v>56</v>
      </c>
      <c r="N67" s="493"/>
      <c r="O67" s="1420"/>
      <c r="P67" s="1420"/>
      <c r="Q67" s="494"/>
      <c r="R67" s="501"/>
      <c r="S67" s="250">
        <v>56</v>
      </c>
      <c r="T67" s="493"/>
      <c r="U67" s="1420"/>
      <c r="V67" s="1420"/>
      <c r="W67" s="494"/>
      <c r="X67" s="495"/>
      <c r="Y67" s="197">
        <v>56</v>
      </c>
      <c r="Z67" s="493"/>
      <c r="AA67" s="1420"/>
      <c r="AB67" s="1420"/>
      <c r="AC67" s="494"/>
      <c r="AD67" s="495"/>
      <c r="AE67" s="197">
        <v>56</v>
      </c>
      <c r="AF67" s="493"/>
      <c r="AG67" s="1420"/>
      <c r="AH67" s="1420"/>
      <c r="AI67" s="494"/>
      <c r="AJ67" s="501"/>
      <c r="AK67" s="267">
        <v>56</v>
      </c>
      <c r="AL67" s="493"/>
      <c r="AM67" s="1420"/>
      <c r="AN67" s="1420"/>
      <c r="AO67" s="494"/>
      <c r="AP67" s="495"/>
      <c r="AQ67" s="197">
        <v>56</v>
      </c>
      <c r="AR67" s="493"/>
      <c r="AS67" s="1420"/>
      <c r="AT67" s="1420"/>
      <c r="AU67" s="494"/>
      <c r="AV67" s="495"/>
      <c r="AW67" s="410">
        <v>56</v>
      </c>
      <c r="AX67" s="493"/>
      <c r="AY67" s="1420"/>
      <c r="AZ67" s="1420"/>
      <c r="BA67" s="494"/>
      <c r="BB67" s="504"/>
    </row>
    <row r="68" spans="1:54" s="240" customFormat="1" x14ac:dyDescent="0.25">
      <c r="A68" s="267">
        <v>57</v>
      </c>
      <c r="B68" s="493"/>
      <c r="C68" s="1420"/>
      <c r="D68" s="1420"/>
      <c r="E68" s="494"/>
      <c r="F68" s="495"/>
      <c r="G68" s="197">
        <v>57</v>
      </c>
      <c r="H68" s="493"/>
      <c r="I68" s="1420"/>
      <c r="J68" s="1420"/>
      <c r="K68" s="494"/>
      <c r="L68" s="495"/>
      <c r="M68" s="410">
        <v>57</v>
      </c>
      <c r="N68" s="493"/>
      <c r="O68" s="1420"/>
      <c r="P68" s="1420"/>
      <c r="Q68" s="494"/>
      <c r="R68" s="501"/>
      <c r="S68" s="250">
        <v>57</v>
      </c>
      <c r="T68" s="493"/>
      <c r="U68" s="1420"/>
      <c r="V68" s="1420"/>
      <c r="W68" s="494"/>
      <c r="X68" s="495"/>
      <c r="Y68" s="197">
        <v>57</v>
      </c>
      <c r="Z68" s="493"/>
      <c r="AA68" s="1420"/>
      <c r="AB68" s="1420"/>
      <c r="AC68" s="494"/>
      <c r="AD68" s="495"/>
      <c r="AE68" s="197">
        <v>57</v>
      </c>
      <c r="AF68" s="493"/>
      <c r="AG68" s="1420"/>
      <c r="AH68" s="1420"/>
      <c r="AI68" s="494"/>
      <c r="AJ68" s="501"/>
      <c r="AK68" s="267">
        <v>57</v>
      </c>
      <c r="AL68" s="493"/>
      <c r="AM68" s="1420"/>
      <c r="AN68" s="1420"/>
      <c r="AO68" s="494"/>
      <c r="AP68" s="495"/>
      <c r="AQ68" s="197">
        <v>57</v>
      </c>
      <c r="AR68" s="493"/>
      <c r="AS68" s="1420"/>
      <c r="AT68" s="1420"/>
      <c r="AU68" s="494"/>
      <c r="AV68" s="495"/>
      <c r="AW68" s="410">
        <v>57</v>
      </c>
      <c r="AX68" s="493"/>
      <c r="AY68" s="1420"/>
      <c r="AZ68" s="1420"/>
      <c r="BA68" s="494"/>
      <c r="BB68" s="504"/>
    </row>
    <row r="69" spans="1:54" s="240" customFormat="1" x14ac:dyDescent="0.25">
      <c r="A69" s="267">
        <v>58</v>
      </c>
      <c r="B69" s="493"/>
      <c r="C69" s="1420"/>
      <c r="D69" s="1420"/>
      <c r="E69" s="494"/>
      <c r="F69" s="495"/>
      <c r="G69" s="197">
        <v>58</v>
      </c>
      <c r="H69" s="493"/>
      <c r="I69" s="1420"/>
      <c r="J69" s="1420"/>
      <c r="K69" s="494"/>
      <c r="L69" s="495"/>
      <c r="M69" s="410">
        <v>58</v>
      </c>
      <c r="N69" s="493"/>
      <c r="O69" s="1420"/>
      <c r="P69" s="1420"/>
      <c r="Q69" s="494"/>
      <c r="R69" s="501"/>
      <c r="S69" s="250">
        <v>58</v>
      </c>
      <c r="T69" s="493"/>
      <c r="U69" s="1420"/>
      <c r="V69" s="1420"/>
      <c r="W69" s="494"/>
      <c r="X69" s="495"/>
      <c r="Y69" s="197">
        <v>58</v>
      </c>
      <c r="Z69" s="493"/>
      <c r="AA69" s="1420"/>
      <c r="AB69" s="1420"/>
      <c r="AC69" s="494"/>
      <c r="AD69" s="495"/>
      <c r="AE69" s="197">
        <v>58</v>
      </c>
      <c r="AF69" s="493"/>
      <c r="AG69" s="1420"/>
      <c r="AH69" s="1420"/>
      <c r="AI69" s="494"/>
      <c r="AJ69" s="501"/>
      <c r="AK69" s="267">
        <v>58</v>
      </c>
      <c r="AL69" s="493"/>
      <c r="AM69" s="1420"/>
      <c r="AN69" s="1420"/>
      <c r="AO69" s="494"/>
      <c r="AP69" s="495"/>
      <c r="AQ69" s="197">
        <v>58</v>
      </c>
      <c r="AR69" s="493"/>
      <c r="AS69" s="1420"/>
      <c r="AT69" s="1420"/>
      <c r="AU69" s="494"/>
      <c r="AV69" s="495"/>
      <c r="AW69" s="410">
        <v>58</v>
      </c>
      <c r="AX69" s="493"/>
      <c r="AY69" s="1420"/>
      <c r="AZ69" s="1420"/>
      <c r="BA69" s="494"/>
      <c r="BB69" s="504"/>
    </row>
    <row r="70" spans="1:54" s="240" customFormat="1" x14ac:dyDescent="0.25">
      <c r="A70" s="267">
        <v>59</v>
      </c>
      <c r="B70" s="493"/>
      <c r="C70" s="1420"/>
      <c r="D70" s="1420"/>
      <c r="E70" s="494"/>
      <c r="F70" s="495"/>
      <c r="G70" s="197">
        <v>59</v>
      </c>
      <c r="H70" s="493"/>
      <c r="I70" s="1420"/>
      <c r="J70" s="1420"/>
      <c r="K70" s="494"/>
      <c r="L70" s="495"/>
      <c r="M70" s="410">
        <v>59</v>
      </c>
      <c r="N70" s="493"/>
      <c r="O70" s="1420"/>
      <c r="P70" s="1420"/>
      <c r="Q70" s="494"/>
      <c r="R70" s="501"/>
      <c r="S70" s="250">
        <v>59</v>
      </c>
      <c r="T70" s="493"/>
      <c r="U70" s="1420"/>
      <c r="V70" s="1420"/>
      <c r="W70" s="494"/>
      <c r="X70" s="495"/>
      <c r="Y70" s="197">
        <v>59</v>
      </c>
      <c r="Z70" s="493"/>
      <c r="AA70" s="1420"/>
      <c r="AB70" s="1420"/>
      <c r="AC70" s="494"/>
      <c r="AD70" s="495"/>
      <c r="AE70" s="197">
        <v>59</v>
      </c>
      <c r="AF70" s="493"/>
      <c r="AG70" s="1420"/>
      <c r="AH70" s="1420"/>
      <c r="AI70" s="494"/>
      <c r="AJ70" s="501"/>
      <c r="AK70" s="267">
        <v>59</v>
      </c>
      <c r="AL70" s="493"/>
      <c r="AM70" s="1420"/>
      <c r="AN70" s="1420"/>
      <c r="AO70" s="494"/>
      <c r="AP70" s="495"/>
      <c r="AQ70" s="197">
        <v>59</v>
      </c>
      <c r="AR70" s="493"/>
      <c r="AS70" s="1420"/>
      <c r="AT70" s="1420"/>
      <c r="AU70" s="494"/>
      <c r="AV70" s="495"/>
      <c r="AW70" s="410">
        <v>59</v>
      </c>
      <c r="AX70" s="493"/>
      <c r="AY70" s="1420"/>
      <c r="AZ70" s="1420"/>
      <c r="BA70" s="494"/>
      <c r="BB70" s="504"/>
    </row>
    <row r="71" spans="1:54" s="240" customFormat="1" x14ac:dyDescent="0.25">
      <c r="A71" s="267">
        <v>60</v>
      </c>
      <c r="B71" s="493"/>
      <c r="C71" s="1420"/>
      <c r="D71" s="1420"/>
      <c r="E71" s="494"/>
      <c r="F71" s="495"/>
      <c r="G71" s="197">
        <v>60</v>
      </c>
      <c r="H71" s="493"/>
      <c r="I71" s="1420"/>
      <c r="J71" s="1420"/>
      <c r="K71" s="494"/>
      <c r="L71" s="495"/>
      <c r="M71" s="410">
        <v>60</v>
      </c>
      <c r="N71" s="493"/>
      <c r="O71" s="1420"/>
      <c r="P71" s="1420"/>
      <c r="Q71" s="494"/>
      <c r="R71" s="501"/>
      <c r="S71" s="250">
        <v>60</v>
      </c>
      <c r="T71" s="493"/>
      <c r="U71" s="1420"/>
      <c r="V71" s="1420"/>
      <c r="W71" s="494"/>
      <c r="X71" s="495"/>
      <c r="Y71" s="197">
        <v>60</v>
      </c>
      <c r="Z71" s="493"/>
      <c r="AA71" s="1420"/>
      <c r="AB71" s="1420"/>
      <c r="AC71" s="494"/>
      <c r="AD71" s="495"/>
      <c r="AE71" s="197">
        <v>60</v>
      </c>
      <c r="AF71" s="493"/>
      <c r="AG71" s="1420"/>
      <c r="AH71" s="1420"/>
      <c r="AI71" s="494"/>
      <c r="AJ71" s="501"/>
      <c r="AK71" s="267">
        <v>60</v>
      </c>
      <c r="AL71" s="493"/>
      <c r="AM71" s="1420"/>
      <c r="AN71" s="1420"/>
      <c r="AO71" s="494"/>
      <c r="AP71" s="495"/>
      <c r="AQ71" s="197">
        <v>60</v>
      </c>
      <c r="AR71" s="493"/>
      <c r="AS71" s="1420"/>
      <c r="AT71" s="1420"/>
      <c r="AU71" s="494"/>
      <c r="AV71" s="495"/>
      <c r="AW71" s="410">
        <v>60</v>
      </c>
      <c r="AX71" s="493"/>
      <c r="AY71" s="1420"/>
      <c r="AZ71" s="1420"/>
      <c r="BA71" s="494"/>
      <c r="BB71" s="504"/>
    </row>
    <row r="72" spans="1:54" s="240" customFormat="1" x14ac:dyDescent="0.25">
      <c r="A72" s="1447" t="s">
        <v>795</v>
      </c>
      <c r="B72" s="1438"/>
      <c r="C72" s="1438"/>
      <c r="D72" s="1438"/>
      <c r="E72" s="1438"/>
      <c r="F72" s="495"/>
      <c r="G72" s="1450" t="s">
        <v>795</v>
      </c>
      <c r="H72" s="1450"/>
      <c r="I72" s="1450"/>
      <c r="J72" s="1450"/>
      <c r="K72" s="1450"/>
      <c r="L72" s="495"/>
      <c r="M72" s="1438" t="s">
        <v>795</v>
      </c>
      <c r="N72" s="1438"/>
      <c r="O72" s="1438"/>
      <c r="P72" s="1438"/>
      <c r="Q72" s="1438"/>
      <c r="R72" s="501"/>
      <c r="S72" s="1454" t="s">
        <v>795</v>
      </c>
      <c r="T72" s="1450"/>
      <c r="U72" s="1450"/>
      <c r="V72" s="1450"/>
      <c r="W72" s="1450"/>
      <c r="X72" s="495"/>
      <c r="Y72" s="1450" t="s">
        <v>795</v>
      </c>
      <c r="Z72" s="1450"/>
      <c r="AA72" s="1450"/>
      <c r="AB72" s="1450"/>
      <c r="AC72" s="1450"/>
      <c r="AD72" s="495"/>
      <c r="AE72" s="1450" t="s">
        <v>795</v>
      </c>
      <c r="AF72" s="1450"/>
      <c r="AG72" s="1450"/>
      <c r="AH72" s="1450"/>
      <c r="AI72" s="1450"/>
      <c r="AJ72" s="501"/>
      <c r="AK72" s="1447" t="s">
        <v>795</v>
      </c>
      <c r="AL72" s="1438"/>
      <c r="AM72" s="1438"/>
      <c r="AN72" s="1438"/>
      <c r="AO72" s="1438"/>
      <c r="AP72" s="495"/>
      <c r="AQ72" s="1450" t="s">
        <v>795</v>
      </c>
      <c r="AR72" s="1450"/>
      <c r="AS72" s="1450"/>
      <c r="AT72" s="1450"/>
      <c r="AU72" s="1450"/>
      <c r="AV72" s="495"/>
      <c r="AW72" s="1438" t="s">
        <v>795</v>
      </c>
      <c r="AX72" s="1438"/>
      <c r="AY72" s="1438"/>
      <c r="AZ72" s="1438"/>
      <c r="BA72" s="1438"/>
      <c r="BB72" s="504"/>
    </row>
    <row r="73" spans="1:54" s="240" customFormat="1" x14ac:dyDescent="0.25">
      <c r="A73" s="1448" t="s">
        <v>796</v>
      </c>
      <c r="B73" s="1440"/>
      <c r="C73" s="1440"/>
      <c r="D73" s="1440"/>
      <c r="E73" s="1441"/>
      <c r="F73" s="275" t="str">
        <f>IFERROR(SUM(F12:F71)/F72,"--")</f>
        <v>--</v>
      </c>
      <c r="G73" s="1451" t="s">
        <v>796</v>
      </c>
      <c r="H73" s="1452"/>
      <c r="I73" s="1452"/>
      <c r="J73" s="1452"/>
      <c r="K73" s="1453"/>
      <c r="L73" s="275" t="str">
        <f>IFERROR(SUM(L12:L71)/L72,"--")</f>
        <v>--</v>
      </c>
      <c r="M73" s="1439" t="s">
        <v>796</v>
      </c>
      <c r="N73" s="1440"/>
      <c r="O73" s="1440"/>
      <c r="P73" s="1440"/>
      <c r="Q73" s="1441"/>
      <c r="R73" s="265" t="str">
        <f>IFERROR(SUM(R12:R71)/R72,"--")</f>
        <v>--</v>
      </c>
      <c r="S73" s="1457" t="s">
        <v>796</v>
      </c>
      <c r="T73" s="1452"/>
      <c r="U73" s="1452"/>
      <c r="V73" s="1452"/>
      <c r="W73" s="1453"/>
      <c r="X73" s="674" t="str">
        <f>IFERROR(SUM(X12:X71)/X72,"--")</f>
        <v>--</v>
      </c>
      <c r="Y73" s="1451" t="s">
        <v>796</v>
      </c>
      <c r="Z73" s="1452"/>
      <c r="AA73" s="1452"/>
      <c r="AB73" s="1452"/>
      <c r="AC73" s="1453"/>
      <c r="AD73" s="674" t="str">
        <f>IFERROR(SUM(AD12:AD71)/AD72,"--")</f>
        <v>--</v>
      </c>
      <c r="AE73" s="1451" t="s">
        <v>796</v>
      </c>
      <c r="AF73" s="1452"/>
      <c r="AG73" s="1452"/>
      <c r="AH73" s="1452"/>
      <c r="AI73" s="1453"/>
      <c r="AJ73" s="674" t="str">
        <f>IFERROR(SUM(AJ12:AJ71)/AJ72,"--")</f>
        <v>--</v>
      </c>
      <c r="AK73" s="1448" t="s">
        <v>796</v>
      </c>
      <c r="AL73" s="1440"/>
      <c r="AM73" s="1440"/>
      <c r="AN73" s="1440"/>
      <c r="AO73" s="1441"/>
      <c r="AP73" s="264" t="str">
        <f>IFERROR(SUM(AP12:AP71)/AP72,"--")</f>
        <v>--</v>
      </c>
      <c r="AQ73" s="1451" t="s">
        <v>796</v>
      </c>
      <c r="AR73" s="1452"/>
      <c r="AS73" s="1452"/>
      <c r="AT73" s="1452"/>
      <c r="AU73" s="1453"/>
      <c r="AV73" s="272" t="str">
        <f>IFERROR(SUM(AV12:AV71)/AV72,"--")</f>
        <v>--</v>
      </c>
      <c r="AW73" s="1439" t="s">
        <v>796</v>
      </c>
      <c r="AX73" s="1440"/>
      <c r="AY73" s="1440"/>
      <c r="AZ73" s="1440"/>
      <c r="BA73" s="1441"/>
      <c r="BB73" s="268" t="str">
        <f>IFERROR(SUM(BB12:BB71)/BB72,"--")</f>
        <v>--</v>
      </c>
    </row>
    <row r="74" spans="1:54" s="266" customFormat="1" ht="18.75" x14ac:dyDescent="0.3">
      <c r="A74" s="1416" t="s">
        <v>797</v>
      </c>
      <c r="B74" s="1417"/>
      <c r="C74" s="1417"/>
      <c r="D74" s="1417"/>
      <c r="E74" s="1417"/>
      <c r="F74" s="1417"/>
      <c r="G74" s="1417" t="s">
        <v>797</v>
      </c>
      <c r="H74" s="1417"/>
      <c r="I74" s="1417"/>
      <c r="J74" s="1417"/>
      <c r="K74" s="1417"/>
      <c r="L74" s="1417"/>
      <c r="M74" s="1417" t="s">
        <v>797</v>
      </c>
      <c r="N74" s="1417"/>
      <c r="O74" s="1417"/>
      <c r="P74" s="1417"/>
      <c r="Q74" s="1417"/>
      <c r="R74" s="1432"/>
      <c r="S74" s="1416" t="s">
        <v>797</v>
      </c>
      <c r="T74" s="1417"/>
      <c r="U74" s="1417"/>
      <c r="V74" s="1417"/>
      <c r="W74" s="1417"/>
      <c r="X74" s="1417"/>
      <c r="Y74" s="1417" t="s">
        <v>797</v>
      </c>
      <c r="Z74" s="1417"/>
      <c r="AA74" s="1417"/>
      <c r="AB74" s="1417"/>
      <c r="AC74" s="1417"/>
      <c r="AD74" s="1417"/>
      <c r="AE74" s="1417" t="s">
        <v>797</v>
      </c>
      <c r="AF74" s="1417"/>
      <c r="AG74" s="1417"/>
      <c r="AH74" s="1417"/>
      <c r="AI74" s="1417"/>
      <c r="AJ74" s="1432"/>
      <c r="AK74" s="1416" t="s">
        <v>797</v>
      </c>
      <c r="AL74" s="1417"/>
      <c r="AM74" s="1417"/>
      <c r="AN74" s="1417"/>
      <c r="AO74" s="1417"/>
      <c r="AP74" s="1417"/>
      <c r="AQ74" s="1417" t="s">
        <v>797</v>
      </c>
      <c r="AR74" s="1417"/>
      <c r="AS74" s="1417"/>
      <c r="AT74" s="1417"/>
      <c r="AU74" s="1417"/>
      <c r="AV74" s="1417"/>
      <c r="AW74" s="1417" t="s">
        <v>797</v>
      </c>
      <c r="AX74" s="1417"/>
      <c r="AY74" s="1417"/>
      <c r="AZ74" s="1417"/>
      <c r="BA74" s="1417"/>
      <c r="BB74" s="1418"/>
    </row>
    <row r="75" spans="1:54" ht="45" customHeight="1" x14ac:dyDescent="0.25">
      <c r="A75" s="263" t="s">
        <v>790</v>
      </c>
      <c r="B75" s="256" t="s">
        <v>791</v>
      </c>
      <c r="C75" s="1419" t="s">
        <v>792</v>
      </c>
      <c r="D75" s="1419"/>
      <c r="E75" s="256" t="s">
        <v>793</v>
      </c>
      <c r="F75" s="257" t="s">
        <v>794</v>
      </c>
      <c r="G75" s="258" t="s">
        <v>790</v>
      </c>
      <c r="H75" s="258" t="s">
        <v>791</v>
      </c>
      <c r="I75" s="1433" t="s">
        <v>792</v>
      </c>
      <c r="J75" s="1433"/>
      <c r="K75" s="258" t="s">
        <v>793</v>
      </c>
      <c r="L75" s="259" t="s">
        <v>794</v>
      </c>
      <c r="M75" s="256" t="s">
        <v>790</v>
      </c>
      <c r="N75" s="256" t="s">
        <v>791</v>
      </c>
      <c r="O75" s="1419" t="s">
        <v>792</v>
      </c>
      <c r="P75" s="1419"/>
      <c r="Q75" s="256" t="s">
        <v>793</v>
      </c>
      <c r="R75" s="257" t="s">
        <v>794</v>
      </c>
      <c r="S75" s="260" t="s">
        <v>790</v>
      </c>
      <c r="T75" s="258" t="s">
        <v>791</v>
      </c>
      <c r="U75" s="1433" t="s">
        <v>792</v>
      </c>
      <c r="V75" s="1433"/>
      <c r="W75" s="258" t="s">
        <v>793</v>
      </c>
      <c r="X75" s="162" t="s">
        <v>794</v>
      </c>
      <c r="Y75" s="273" t="s">
        <v>790</v>
      </c>
      <c r="Z75" s="258" t="s">
        <v>791</v>
      </c>
      <c r="AA75" s="1433" t="s">
        <v>792</v>
      </c>
      <c r="AB75" s="1433"/>
      <c r="AC75" s="258" t="s">
        <v>793</v>
      </c>
      <c r="AD75" s="162" t="s">
        <v>794</v>
      </c>
      <c r="AE75" s="273" t="s">
        <v>790</v>
      </c>
      <c r="AF75" s="258" t="s">
        <v>791</v>
      </c>
      <c r="AG75" s="1433" t="s">
        <v>792</v>
      </c>
      <c r="AH75" s="1433"/>
      <c r="AI75" s="258" t="s">
        <v>793</v>
      </c>
      <c r="AJ75" s="259" t="s">
        <v>794</v>
      </c>
      <c r="AK75" s="263" t="s">
        <v>790</v>
      </c>
      <c r="AL75" s="256" t="s">
        <v>791</v>
      </c>
      <c r="AM75" s="1419" t="s">
        <v>792</v>
      </c>
      <c r="AN75" s="1419"/>
      <c r="AO75" s="256" t="s">
        <v>793</v>
      </c>
      <c r="AP75" s="115" t="s">
        <v>794</v>
      </c>
      <c r="AQ75" s="274" t="s">
        <v>790</v>
      </c>
      <c r="AR75" s="162" t="s">
        <v>791</v>
      </c>
      <c r="AS75" s="1436" t="s">
        <v>792</v>
      </c>
      <c r="AT75" s="1436"/>
      <c r="AU75" s="162" t="s">
        <v>793</v>
      </c>
      <c r="AV75" s="162" t="s">
        <v>794</v>
      </c>
      <c r="AW75" s="261" t="s">
        <v>790</v>
      </c>
      <c r="AX75" s="256" t="s">
        <v>791</v>
      </c>
      <c r="AY75" s="1419" t="s">
        <v>792</v>
      </c>
      <c r="AZ75" s="1419"/>
      <c r="BA75" s="256" t="s">
        <v>793</v>
      </c>
      <c r="BB75" s="262" t="s">
        <v>794</v>
      </c>
    </row>
    <row r="76" spans="1:54" x14ac:dyDescent="0.25">
      <c r="A76" s="267">
        <v>1</v>
      </c>
      <c r="B76" s="493"/>
      <c r="C76" s="1420"/>
      <c r="D76" s="1420"/>
      <c r="E76" s="494"/>
      <c r="F76" s="495"/>
      <c r="G76" s="197">
        <v>1</v>
      </c>
      <c r="H76" s="493"/>
      <c r="I76" s="1420"/>
      <c r="J76" s="1420"/>
      <c r="K76" s="494"/>
      <c r="L76" s="495"/>
      <c r="M76" s="410">
        <v>1</v>
      </c>
      <c r="N76" s="493"/>
      <c r="O76" s="1420"/>
      <c r="P76" s="1420"/>
      <c r="Q76" s="494"/>
      <c r="R76" s="501"/>
      <c r="S76" s="250">
        <v>1</v>
      </c>
      <c r="T76" s="493"/>
      <c r="U76" s="1420"/>
      <c r="V76" s="1420"/>
      <c r="W76" s="494"/>
      <c r="X76" s="495"/>
      <c r="Y76" s="197">
        <v>1</v>
      </c>
      <c r="Z76" s="493"/>
      <c r="AA76" s="1420"/>
      <c r="AB76" s="1420"/>
      <c r="AC76" s="494"/>
      <c r="AD76" s="495"/>
      <c r="AE76" s="197">
        <v>1</v>
      </c>
      <c r="AF76" s="493"/>
      <c r="AG76" s="1420"/>
      <c r="AH76" s="1420"/>
      <c r="AI76" s="494"/>
      <c r="AJ76" s="501"/>
      <c r="AK76" s="267">
        <v>1</v>
      </c>
      <c r="AL76" s="493"/>
      <c r="AM76" s="1420"/>
      <c r="AN76" s="1420"/>
      <c r="AO76" s="494"/>
      <c r="AP76" s="495"/>
      <c r="AQ76" s="197">
        <v>1</v>
      </c>
      <c r="AR76" s="493"/>
      <c r="AS76" s="1420"/>
      <c r="AT76" s="1420"/>
      <c r="AU76" s="494"/>
      <c r="AV76" s="495"/>
      <c r="AW76" s="410">
        <v>1</v>
      </c>
      <c r="AX76" s="493"/>
      <c r="AY76" s="1420"/>
      <c r="AZ76" s="1420"/>
      <c r="BA76" s="494"/>
      <c r="BB76" s="504"/>
    </row>
    <row r="77" spans="1:54" x14ac:dyDescent="0.25">
      <c r="A77" s="267">
        <v>2</v>
      </c>
      <c r="B77" s="493"/>
      <c r="C77" s="1420"/>
      <c r="D77" s="1420"/>
      <c r="E77" s="494"/>
      <c r="F77" s="495"/>
      <c r="G77" s="197">
        <v>2</v>
      </c>
      <c r="H77" s="493"/>
      <c r="I77" s="1420"/>
      <c r="J77" s="1420"/>
      <c r="K77" s="494"/>
      <c r="L77" s="495"/>
      <c r="M77" s="410">
        <v>2</v>
      </c>
      <c r="N77" s="493"/>
      <c r="O77" s="1420"/>
      <c r="P77" s="1420"/>
      <c r="Q77" s="494"/>
      <c r="R77" s="501"/>
      <c r="S77" s="250">
        <v>2</v>
      </c>
      <c r="T77" s="493"/>
      <c r="U77" s="1420"/>
      <c r="V77" s="1420"/>
      <c r="W77" s="494"/>
      <c r="X77" s="495"/>
      <c r="Y77" s="197">
        <v>2</v>
      </c>
      <c r="Z77" s="493"/>
      <c r="AA77" s="1420"/>
      <c r="AB77" s="1420"/>
      <c r="AC77" s="494"/>
      <c r="AD77" s="495"/>
      <c r="AE77" s="197">
        <v>2</v>
      </c>
      <c r="AF77" s="493"/>
      <c r="AG77" s="1420"/>
      <c r="AH77" s="1420"/>
      <c r="AI77" s="494"/>
      <c r="AJ77" s="501"/>
      <c r="AK77" s="267">
        <v>2</v>
      </c>
      <c r="AL77" s="493"/>
      <c r="AM77" s="1420"/>
      <c r="AN77" s="1420"/>
      <c r="AO77" s="494"/>
      <c r="AP77" s="495"/>
      <c r="AQ77" s="197">
        <v>2</v>
      </c>
      <c r="AR77" s="493"/>
      <c r="AS77" s="1420"/>
      <c r="AT77" s="1420"/>
      <c r="AU77" s="494"/>
      <c r="AV77" s="495"/>
      <c r="AW77" s="410">
        <v>2</v>
      </c>
      <c r="AX77" s="493"/>
      <c r="AY77" s="1420"/>
      <c r="AZ77" s="1420"/>
      <c r="BA77" s="494"/>
      <c r="BB77" s="504"/>
    </row>
    <row r="78" spans="1:54" x14ac:dyDescent="0.25">
      <c r="A78" s="267">
        <v>3</v>
      </c>
      <c r="B78" s="493"/>
      <c r="C78" s="1420"/>
      <c r="D78" s="1420"/>
      <c r="E78" s="494"/>
      <c r="F78" s="495"/>
      <c r="G78" s="197">
        <v>3</v>
      </c>
      <c r="H78" s="493"/>
      <c r="I78" s="1420"/>
      <c r="J78" s="1420"/>
      <c r="K78" s="494"/>
      <c r="L78" s="495"/>
      <c r="M78" s="410">
        <v>3</v>
      </c>
      <c r="N78" s="493"/>
      <c r="O78" s="1420"/>
      <c r="P78" s="1420"/>
      <c r="Q78" s="494"/>
      <c r="R78" s="501"/>
      <c r="S78" s="250">
        <v>3</v>
      </c>
      <c r="T78" s="493"/>
      <c r="U78" s="1420"/>
      <c r="V78" s="1420"/>
      <c r="W78" s="494"/>
      <c r="X78" s="495"/>
      <c r="Y78" s="197">
        <v>3</v>
      </c>
      <c r="Z78" s="493"/>
      <c r="AA78" s="1420"/>
      <c r="AB78" s="1420"/>
      <c r="AC78" s="494"/>
      <c r="AD78" s="495"/>
      <c r="AE78" s="197">
        <v>3</v>
      </c>
      <c r="AF78" s="493"/>
      <c r="AG78" s="1420"/>
      <c r="AH78" s="1420"/>
      <c r="AI78" s="494"/>
      <c r="AJ78" s="501"/>
      <c r="AK78" s="267">
        <v>3</v>
      </c>
      <c r="AL78" s="493"/>
      <c r="AM78" s="1420"/>
      <c r="AN78" s="1420"/>
      <c r="AO78" s="494"/>
      <c r="AP78" s="495"/>
      <c r="AQ78" s="197">
        <v>3</v>
      </c>
      <c r="AR78" s="493"/>
      <c r="AS78" s="1420"/>
      <c r="AT78" s="1420"/>
      <c r="AU78" s="494"/>
      <c r="AV78" s="495"/>
      <c r="AW78" s="410">
        <v>3</v>
      </c>
      <c r="AX78" s="493"/>
      <c r="AY78" s="1420"/>
      <c r="AZ78" s="1420"/>
      <c r="BA78" s="494"/>
      <c r="BB78" s="504"/>
    </row>
    <row r="79" spans="1:54" x14ac:dyDescent="0.25">
      <c r="A79" s="267">
        <v>4</v>
      </c>
      <c r="B79" s="493"/>
      <c r="C79" s="1420"/>
      <c r="D79" s="1420"/>
      <c r="E79" s="494"/>
      <c r="F79" s="495"/>
      <c r="G79" s="197">
        <v>4</v>
      </c>
      <c r="H79" s="493"/>
      <c r="I79" s="1420"/>
      <c r="J79" s="1420"/>
      <c r="K79" s="494"/>
      <c r="L79" s="495"/>
      <c r="M79" s="410">
        <v>4</v>
      </c>
      <c r="N79" s="493"/>
      <c r="O79" s="1420"/>
      <c r="P79" s="1420"/>
      <c r="Q79" s="494"/>
      <c r="R79" s="501"/>
      <c r="S79" s="250">
        <v>4</v>
      </c>
      <c r="T79" s="493"/>
      <c r="U79" s="1420"/>
      <c r="V79" s="1420"/>
      <c r="W79" s="494"/>
      <c r="X79" s="495"/>
      <c r="Y79" s="197">
        <v>4</v>
      </c>
      <c r="Z79" s="493"/>
      <c r="AA79" s="1420"/>
      <c r="AB79" s="1420"/>
      <c r="AC79" s="494"/>
      <c r="AD79" s="495"/>
      <c r="AE79" s="197">
        <v>4</v>
      </c>
      <c r="AF79" s="493"/>
      <c r="AG79" s="1420"/>
      <c r="AH79" s="1420"/>
      <c r="AI79" s="494"/>
      <c r="AJ79" s="501"/>
      <c r="AK79" s="267">
        <v>4</v>
      </c>
      <c r="AL79" s="493"/>
      <c r="AM79" s="1420"/>
      <c r="AN79" s="1420"/>
      <c r="AO79" s="494"/>
      <c r="AP79" s="495"/>
      <c r="AQ79" s="197">
        <v>4</v>
      </c>
      <c r="AR79" s="493"/>
      <c r="AS79" s="1420"/>
      <c r="AT79" s="1420"/>
      <c r="AU79" s="494"/>
      <c r="AV79" s="495"/>
      <c r="AW79" s="410">
        <v>4</v>
      </c>
      <c r="AX79" s="493"/>
      <c r="AY79" s="1420"/>
      <c r="AZ79" s="1420"/>
      <c r="BA79" s="494"/>
      <c r="BB79" s="504"/>
    </row>
    <row r="80" spans="1:54" x14ac:dyDescent="0.25">
      <c r="A80" s="269">
        <v>5</v>
      </c>
      <c r="B80" s="493"/>
      <c r="C80" s="1420"/>
      <c r="D80" s="1420"/>
      <c r="E80" s="496"/>
      <c r="F80" s="497"/>
      <c r="G80" s="254">
        <v>5</v>
      </c>
      <c r="H80" s="493"/>
      <c r="I80" s="1420"/>
      <c r="J80" s="1420"/>
      <c r="K80" s="496"/>
      <c r="L80" s="497"/>
      <c r="M80" s="253">
        <v>5</v>
      </c>
      <c r="N80" s="493"/>
      <c r="O80" s="1420"/>
      <c r="P80" s="1420"/>
      <c r="Q80" s="496"/>
      <c r="R80" s="502"/>
      <c r="S80" s="255">
        <v>5</v>
      </c>
      <c r="T80" s="493"/>
      <c r="U80" s="1420"/>
      <c r="V80" s="1420"/>
      <c r="W80" s="496"/>
      <c r="X80" s="497"/>
      <c r="Y80" s="254">
        <v>5</v>
      </c>
      <c r="Z80" s="493"/>
      <c r="AA80" s="1420"/>
      <c r="AB80" s="1420"/>
      <c r="AC80" s="496"/>
      <c r="AD80" s="497"/>
      <c r="AE80" s="254">
        <v>5</v>
      </c>
      <c r="AF80" s="493"/>
      <c r="AG80" s="1420"/>
      <c r="AH80" s="1420"/>
      <c r="AI80" s="496"/>
      <c r="AJ80" s="502"/>
      <c r="AK80" s="269">
        <v>5</v>
      </c>
      <c r="AL80" s="493"/>
      <c r="AM80" s="1420"/>
      <c r="AN80" s="1420"/>
      <c r="AO80" s="496"/>
      <c r="AP80" s="497"/>
      <c r="AQ80" s="254">
        <v>5</v>
      </c>
      <c r="AR80" s="493"/>
      <c r="AS80" s="1420"/>
      <c r="AT80" s="1420"/>
      <c r="AU80" s="496"/>
      <c r="AV80" s="497"/>
      <c r="AW80" s="253">
        <v>5</v>
      </c>
      <c r="AX80" s="493"/>
      <c r="AY80" s="1420"/>
      <c r="AZ80" s="1420"/>
      <c r="BA80" s="496"/>
      <c r="BB80" s="505"/>
    </row>
    <row r="81" spans="1:54" s="266" customFormat="1" ht="18.75" x14ac:dyDescent="0.3">
      <c r="A81" s="1416" t="s">
        <v>798</v>
      </c>
      <c r="B81" s="1417"/>
      <c r="C81" s="1417"/>
      <c r="D81" s="1417"/>
      <c r="E81" s="1417"/>
      <c r="F81" s="1417"/>
      <c r="G81" s="1417" t="s">
        <v>798</v>
      </c>
      <c r="H81" s="1417"/>
      <c r="I81" s="1417"/>
      <c r="J81" s="1417"/>
      <c r="K81" s="1417"/>
      <c r="L81" s="1417"/>
      <c r="M81" s="1417" t="s">
        <v>798</v>
      </c>
      <c r="N81" s="1417"/>
      <c r="O81" s="1417"/>
      <c r="P81" s="1417"/>
      <c r="Q81" s="1417"/>
      <c r="R81" s="1432"/>
      <c r="S81" s="1416" t="s">
        <v>798</v>
      </c>
      <c r="T81" s="1417"/>
      <c r="U81" s="1417"/>
      <c r="V81" s="1417"/>
      <c r="W81" s="1417"/>
      <c r="X81" s="1417"/>
      <c r="Y81" s="1417" t="s">
        <v>798</v>
      </c>
      <c r="Z81" s="1417"/>
      <c r="AA81" s="1417"/>
      <c r="AB81" s="1417"/>
      <c r="AC81" s="1417"/>
      <c r="AD81" s="1417"/>
      <c r="AE81" s="1417" t="s">
        <v>798</v>
      </c>
      <c r="AF81" s="1417"/>
      <c r="AG81" s="1417"/>
      <c r="AH81" s="1417"/>
      <c r="AI81" s="1417"/>
      <c r="AJ81" s="1432"/>
      <c r="AK81" s="1416" t="s">
        <v>798</v>
      </c>
      <c r="AL81" s="1417"/>
      <c r="AM81" s="1417"/>
      <c r="AN81" s="1417"/>
      <c r="AO81" s="1417"/>
      <c r="AP81" s="1417"/>
      <c r="AQ81" s="1417" t="s">
        <v>798</v>
      </c>
      <c r="AR81" s="1417"/>
      <c r="AS81" s="1417"/>
      <c r="AT81" s="1417"/>
      <c r="AU81" s="1417"/>
      <c r="AV81" s="1417"/>
      <c r="AW81" s="1417" t="s">
        <v>798</v>
      </c>
      <c r="AX81" s="1417"/>
      <c r="AY81" s="1417"/>
      <c r="AZ81" s="1417"/>
      <c r="BA81" s="1417"/>
      <c r="BB81" s="1418"/>
    </row>
    <row r="82" spans="1:54" x14ac:dyDescent="0.25">
      <c r="A82" s="263" t="s">
        <v>790</v>
      </c>
      <c r="B82" s="256" t="s">
        <v>791</v>
      </c>
      <c r="C82" s="1419" t="s">
        <v>792</v>
      </c>
      <c r="D82" s="1419"/>
      <c r="E82" s="256" t="s">
        <v>793</v>
      </c>
      <c r="F82" s="257" t="s">
        <v>794</v>
      </c>
      <c r="G82" s="258" t="s">
        <v>790</v>
      </c>
      <c r="H82" s="258" t="s">
        <v>791</v>
      </c>
      <c r="I82" s="1433" t="s">
        <v>792</v>
      </c>
      <c r="J82" s="1433"/>
      <c r="K82" s="258" t="s">
        <v>793</v>
      </c>
      <c r="L82" s="259" t="s">
        <v>794</v>
      </c>
      <c r="M82" s="256" t="s">
        <v>790</v>
      </c>
      <c r="N82" s="256" t="s">
        <v>791</v>
      </c>
      <c r="O82" s="1419" t="s">
        <v>792</v>
      </c>
      <c r="P82" s="1419"/>
      <c r="Q82" s="256" t="s">
        <v>793</v>
      </c>
      <c r="R82" s="257" t="s">
        <v>794</v>
      </c>
      <c r="S82" s="260" t="s">
        <v>790</v>
      </c>
      <c r="T82" s="258" t="s">
        <v>791</v>
      </c>
      <c r="U82" s="1433" t="s">
        <v>792</v>
      </c>
      <c r="V82" s="1433"/>
      <c r="W82" s="258" t="s">
        <v>793</v>
      </c>
      <c r="X82" s="162" t="s">
        <v>794</v>
      </c>
      <c r="Y82" s="273" t="s">
        <v>790</v>
      </c>
      <c r="Z82" s="258" t="s">
        <v>791</v>
      </c>
      <c r="AA82" s="1433" t="s">
        <v>792</v>
      </c>
      <c r="AB82" s="1433"/>
      <c r="AC82" s="258" t="s">
        <v>793</v>
      </c>
      <c r="AD82" s="162" t="s">
        <v>794</v>
      </c>
      <c r="AE82" s="273" t="s">
        <v>790</v>
      </c>
      <c r="AF82" s="258" t="s">
        <v>791</v>
      </c>
      <c r="AG82" s="1433" t="s">
        <v>792</v>
      </c>
      <c r="AH82" s="1433"/>
      <c r="AI82" s="258" t="s">
        <v>793</v>
      </c>
      <c r="AJ82" s="259" t="s">
        <v>794</v>
      </c>
      <c r="AK82" s="263" t="s">
        <v>790</v>
      </c>
      <c r="AL82" s="256" t="s">
        <v>791</v>
      </c>
      <c r="AM82" s="1419" t="s">
        <v>792</v>
      </c>
      <c r="AN82" s="1419"/>
      <c r="AO82" s="256" t="s">
        <v>793</v>
      </c>
      <c r="AP82" s="115" t="s">
        <v>794</v>
      </c>
      <c r="AQ82" s="273" t="s">
        <v>790</v>
      </c>
      <c r="AR82" s="258" t="s">
        <v>791</v>
      </c>
      <c r="AS82" s="1433" t="s">
        <v>792</v>
      </c>
      <c r="AT82" s="1433"/>
      <c r="AU82" s="258" t="s">
        <v>793</v>
      </c>
      <c r="AV82" s="162" t="s">
        <v>794</v>
      </c>
      <c r="AW82" s="261" t="s">
        <v>790</v>
      </c>
      <c r="AX82" s="256" t="s">
        <v>791</v>
      </c>
      <c r="AY82" s="1419" t="s">
        <v>792</v>
      </c>
      <c r="AZ82" s="1419"/>
      <c r="BA82" s="256" t="s">
        <v>793</v>
      </c>
      <c r="BB82" s="262" t="s">
        <v>794</v>
      </c>
    </row>
    <row r="83" spans="1:54" x14ac:dyDescent="0.25">
      <c r="A83" s="267">
        <v>1</v>
      </c>
      <c r="B83" s="493"/>
      <c r="C83" s="1420"/>
      <c r="D83" s="1420"/>
      <c r="E83" s="494"/>
      <c r="F83" s="495"/>
      <c r="G83" s="197">
        <v>1</v>
      </c>
      <c r="H83" s="493"/>
      <c r="I83" s="1420"/>
      <c r="J83" s="1420"/>
      <c r="K83" s="494"/>
      <c r="L83" s="495"/>
      <c r="M83" s="410">
        <v>1</v>
      </c>
      <c r="N83" s="493"/>
      <c r="O83" s="1420"/>
      <c r="P83" s="1420"/>
      <c r="Q83" s="494"/>
      <c r="R83" s="501"/>
      <c r="S83" s="250">
        <v>1</v>
      </c>
      <c r="T83" s="493"/>
      <c r="U83" s="1420"/>
      <c r="V83" s="1420"/>
      <c r="W83" s="494"/>
      <c r="X83" s="495"/>
      <c r="Y83" s="197">
        <v>1</v>
      </c>
      <c r="Z83" s="493"/>
      <c r="AA83" s="1420"/>
      <c r="AB83" s="1420"/>
      <c r="AC83" s="494"/>
      <c r="AD83" s="495"/>
      <c r="AE83" s="197">
        <v>1</v>
      </c>
      <c r="AF83" s="493"/>
      <c r="AG83" s="1420"/>
      <c r="AH83" s="1420"/>
      <c r="AI83" s="494"/>
      <c r="AJ83" s="501"/>
      <c r="AK83" s="267">
        <v>1</v>
      </c>
      <c r="AL83" s="493"/>
      <c r="AM83" s="1420"/>
      <c r="AN83" s="1420"/>
      <c r="AO83" s="494"/>
      <c r="AP83" s="495"/>
      <c r="AQ83" s="197">
        <v>1</v>
      </c>
      <c r="AR83" s="493"/>
      <c r="AS83" s="1420"/>
      <c r="AT83" s="1420"/>
      <c r="AU83" s="494"/>
      <c r="AV83" s="495"/>
      <c r="AW83" s="410">
        <v>1</v>
      </c>
      <c r="AX83" s="493"/>
      <c r="AY83" s="1420"/>
      <c r="AZ83" s="1420"/>
      <c r="BA83" s="494"/>
      <c r="BB83" s="504"/>
    </row>
    <row r="84" spans="1:54" x14ac:dyDescent="0.25">
      <c r="A84" s="267">
        <v>2</v>
      </c>
      <c r="B84" s="493"/>
      <c r="C84" s="1420"/>
      <c r="D84" s="1420"/>
      <c r="E84" s="494"/>
      <c r="F84" s="495"/>
      <c r="G84" s="197">
        <v>2</v>
      </c>
      <c r="H84" s="493"/>
      <c r="I84" s="1420"/>
      <c r="J84" s="1420"/>
      <c r="K84" s="494"/>
      <c r="L84" s="495"/>
      <c r="M84" s="410">
        <v>2</v>
      </c>
      <c r="N84" s="493"/>
      <c r="O84" s="1420"/>
      <c r="P84" s="1420"/>
      <c r="Q84" s="494"/>
      <c r="R84" s="501"/>
      <c r="S84" s="250">
        <v>2</v>
      </c>
      <c r="T84" s="493"/>
      <c r="U84" s="1420"/>
      <c r="V84" s="1420"/>
      <c r="W84" s="494"/>
      <c r="X84" s="495"/>
      <c r="Y84" s="197">
        <v>2</v>
      </c>
      <c r="Z84" s="493"/>
      <c r="AA84" s="1420"/>
      <c r="AB84" s="1420"/>
      <c r="AC84" s="494"/>
      <c r="AD84" s="495"/>
      <c r="AE84" s="197">
        <v>2</v>
      </c>
      <c r="AF84" s="493"/>
      <c r="AG84" s="1420"/>
      <c r="AH84" s="1420"/>
      <c r="AI84" s="494"/>
      <c r="AJ84" s="501"/>
      <c r="AK84" s="267">
        <v>2</v>
      </c>
      <c r="AL84" s="493"/>
      <c r="AM84" s="1420"/>
      <c r="AN84" s="1420"/>
      <c r="AO84" s="494"/>
      <c r="AP84" s="495"/>
      <c r="AQ84" s="197">
        <v>2</v>
      </c>
      <c r="AR84" s="493"/>
      <c r="AS84" s="1420"/>
      <c r="AT84" s="1420"/>
      <c r="AU84" s="494"/>
      <c r="AV84" s="495"/>
      <c r="AW84" s="410">
        <v>2</v>
      </c>
      <c r="AX84" s="493"/>
      <c r="AY84" s="1420"/>
      <c r="AZ84" s="1420"/>
      <c r="BA84" s="494"/>
      <c r="BB84" s="504"/>
    </row>
    <row r="85" spans="1:54" x14ac:dyDescent="0.25">
      <c r="A85" s="267">
        <v>3</v>
      </c>
      <c r="B85" s="493"/>
      <c r="C85" s="1420"/>
      <c r="D85" s="1420"/>
      <c r="E85" s="494"/>
      <c r="F85" s="495"/>
      <c r="G85" s="197">
        <v>3</v>
      </c>
      <c r="H85" s="493"/>
      <c r="I85" s="1420"/>
      <c r="J85" s="1420"/>
      <c r="K85" s="494"/>
      <c r="L85" s="495"/>
      <c r="M85" s="410">
        <v>3</v>
      </c>
      <c r="N85" s="493"/>
      <c r="O85" s="1420"/>
      <c r="P85" s="1420"/>
      <c r="Q85" s="494"/>
      <c r="R85" s="501"/>
      <c r="S85" s="250">
        <v>3</v>
      </c>
      <c r="T85" s="493"/>
      <c r="U85" s="1420"/>
      <c r="V85" s="1420"/>
      <c r="W85" s="494"/>
      <c r="X85" s="495"/>
      <c r="Y85" s="197">
        <v>3</v>
      </c>
      <c r="Z85" s="493"/>
      <c r="AA85" s="1420"/>
      <c r="AB85" s="1420"/>
      <c r="AC85" s="494"/>
      <c r="AD85" s="495"/>
      <c r="AE85" s="197">
        <v>3</v>
      </c>
      <c r="AF85" s="493"/>
      <c r="AG85" s="1420"/>
      <c r="AH85" s="1420"/>
      <c r="AI85" s="494"/>
      <c r="AJ85" s="501"/>
      <c r="AK85" s="267">
        <v>3</v>
      </c>
      <c r="AL85" s="493"/>
      <c r="AM85" s="1420"/>
      <c r="AN85" s="1420"/>
      <c r="AO85" s="494"/>
      <c r="AP85" s="495"/>
      <c r="AQ85" s="197">
        <v>3</v>
      </c>
      <c r="AR85" s="493"/>
      <c r="AS85" s="1420"/>
      <c r="AT85" s="1420"/>
      <c r="AU85" s="494"/>
      <c r="AV85" s="495"/>
      <c r="AW85" s="410">
        <v>3</v>
      </c>
      <c r="AX85" s="493"/>
      <c r="AY85" s="1420"/>
      <c r="AZ85" s="1420"/>
      <c r="BA85" s="494"/>
      <c r="BB85" s="504"/>
    </row>
    <row r="86" spans="1:54" x14ac:dyDescent="0.25">
      <c r="A86" s="267">
        <v>4</v>
      </c>
      <c r="B86" s="493"/>
      <c r="C86" s="1420"/>
      <c r="D86" s="1420"/>
      <c r="E86" s="494"/>
      <c r="F86" s="495"/>
      <c r="G86" s="197">
        <v>4</v>
      </c>
      <c r="H86" s="493"/>
      <c r="I86" s="1420"/>
      <c r="J86" s="1420"/>
      <c r="K86" s="494"/>
      <c r="L86" s="495"/>
      <c r="M86" s="410">
        <v>4</v>
      </c>
      <c r="N86" s="493"/>
      <c r="O86" s="1420"/>
      <c r="P86" s="1420"/>
      <c r="Q86" s="494"/>
      <c r="R86" s="501"/>
      <c r="S86" s="250">
        <v>4</v>
      </c>
      <c r="T86" s="493"/>
      <c r="U86" s="1420"/>
      <c r="V86" s="1420"/>
      <c r="W86" s="494"/>
      <c r="X86" s="495"/>
      <c r="Y86" s="197">
        <v>4</v>
      </c>
      <c r="Z86" s="493"/>
      <c r="AA86" s="1420"/>
      <c r="AB86" s="1420"/>
      <c r="AC86" s="494"/>
      <c r="AD86" s="495"/>
      <c r="AE86" s="197">
        <v>4</v>
      </c>
      <c r="AF86" s="493"/>
      <c r="AG86" s="1420"/>
      <c r="AH86" s="1420"/>
      <c r="AI86" s="494"/>
      <c r="AJ86" s="501"/>
      <c r="AK86" s="267">
        <v>4</v>
      </c>
      <c r="AL86" s="493"/>
      <c r="AM86" s="1420"/>
      <c r="AN86" s="1420"/>
      <c r="AO86" s="494"/>
      <c r="AP86" s="495"/>
      <c r="AQ86" s="197">
        <v>4</v>
      </c>
      <c r="AR86" s="493"/>
      <c r="AS86" s="1420"/>
      <c r="AT86" s="1420"/>
      <c r="AU86" s="494"/>
      <c r="AV86" s="495"/>
      <c r="AW86" s="410">
        <v>4</v>
      </c>
      <c r="AX86" s="493"/>
      <c r="AY86" s="1420"/>
      <c r="AZ86" s="1420"/>
      <c r="BA86" s="494"/>
      <c r="BB86" s="504"/>
    </row>
    <row r="87" spans="1:54" ht="15.75" thickBot="1" x14ac:dyDescent="0.3">
      <c r="A87" s="270">
        <v>5</v>
      </c>
      <c r="B87" s="498"/>
      <c r="C87" s="1431"/>
      <c r="D87" s="1431"/>
      <c r="E87" s="499"/>
      <c r="F87" s="500"/>
      <c r="G87" s="252">
        <v>5</v>
      </c>
      <c r="H87" s="498"/>
      <c r="I87" s="1431"/>
      <c r="J87" s="1431"/>
      <c r="K87" s="499"/>
      <c r="L87" s="500"/>
      <c r="M87" s="271">
        <v>5</v>
      </c>
      <c r="N87" s="498"/>
      <c r="O87" s="1431"/>
      <c r="P87" s="1431"/>
      <c r="Q87" s="499"/>
      <c r="R87" s="503"/>
      <c r="S87" s="251">
        <v>5</v>
      </c>
      <c r="T87" s="498"/>
      <c r="U87" s="1431"/>
      <c r="V87" s="1431"/>
      <c r="W87" s="499"/>
      <c r="X87" s="500"/>
      <c r="Y87" s="252">
        <v>5</v>
      </c>
      <c r="Z87" s="498"/>
      <c r="AA87" s="1431"/>
      <c r="AB87" s="1431"/>
      <c r="AC87" s="499"/>
      <c r="AD87" s="500"/>
      <c r="AE87" s="252">
        <v>5</v>
      </c>
      <c r="AF87" s="498"/>
      <c r="AG87" s="1431"/>
      <c r="AH87" s="1431"/>
      <c r="AI87" s="499"/>
      <c r="AJ87" s="503"/>
      <c r="AK87" s="270">
        <v>5</v>
      </c>
      <c r="AL87" s="498"/>
      <c r="AM87" s="1431"/>
      <c r="AN87" s="1431"/>
      <c r="AO87" s="499"/>
      <c r="AP87" s="500"/>
      <c r="AQ87" s="252">
        <v>5</v>
      </c>
      <c r="AR87" s="498"/>
      <c r="AS87" s="1431"/>
      <c r="AT87" s="1431"/>
      <c r="AU87" s="499"/>
      <c r="AV87" s="500"/>
      <c r="AW87" s="271">
        <v>5</v>
      </c>
      <c r="AX87" s="498"/>
      <c r="AY87" s="1431"/>
      <c r="AZ87" s="1431"/>
      <c r="BA87" s="499"/>
      <c r="BB87" s="506"/>
    </row>
    <row r="88" spans="1:54" ht="21" x14ac:dyDescent="0.35">
      <c r="B88" s="344"/>
      <c r="C88" s="344"/>
      <c r="D88" s="344"/>
      <c r="E88" s="344"/>
      <c r="F88" s="344"/>
      <c r="H88" s="344"/>
      <c r="I88" s="344"/>
      <c r="J88" s="344"/>
      <c r="K88" s="344"/>
      <c r="L88" s="344"/>
      <c r="N88" s="344"/>
      <c r="O88" s="344"/>
      <c r="P88" s="344"/>
      <c r="Q88" s="344"/>
      <c r="R88" s="344"/>
      <c r="T88" s="344"/>
      <c r="U88" s="344"/>
      <c r="V88" s="344"/>
      <c r="W88" s="344"/>
      <c r="X88" s="344"/>
      <c r="Z88" s="344"/>
      <c r="AA88" s="344"/>
      <c r="AB88" s="344"/>
      <c r="AC88" s="344"/>
      <c r="AD88" s="344"/>
      <c r="AF88" s="344"/>
      <c r="AG88" s="344"/>
      <c r="AH88" s="344"/>
      <c r="AI88" s="344"/>
      <c r="AJ88" s="344"/>
      <c r="AL88" s="344"/>
      <c r="AM88" s="344"/>
      <c r="AN88" s="344"/>
      <c r="AO88" s="344"/>
      <c r="AP88" s="344"/>
      <c r="AR88" s="344"/>
      <c r="AS88" s="344"/>
      <c r="AT88" s="344"/>
      <c r="AU88" s="344"/>
      <c r="AV88" s="344"/>
      <c r="AX88" s="344"/>
      <c r="AY88" s="344"/>
      <c r="AZ88" s="344"/>
      <c r="BA88" s="344"/>
      <c r="BB88" s="344"/>
    </row>
    <row r="89" spans="1:54" ht="21" x14ac:dyDescent="0.35">
      <c r="B89" s="344"/>
      <c r="C89" s="344"/>
      <c r="D89" s="344"/>
      <c r="E89" s="344"/>
      <c r="F89" s="344"/>
      <c r="H89" s="344"/>
      <c r="I89" s="344"/>
      <c r="J89" s="344"/>
      <c r="K89" s="344"/>
      <c r="L89" s="344"/>
      <c r="N89" s="344"/>
      <c r="O89" s="344"/>
      <c r="P89" s="344"/>
      <c r="Q89" s="344"/>
      <c r="R89" s="344"/>
      <c r="T89" s="344"/>
      <c r="U89" s="344"/>
      <c r="V89" s="344"/>
      <c r="W89" s="344"/>
      <c r="X89" s="344"/>
      <c r="Z89" s="344"/>
      <c r="AA89" s="344"/>
      <c r="AB89" s="344"/>
      <c r="AC89" s="344"/>
      <c r="AD89" s="344"/>
      <c r="AF89" s="344"/>
      <c r="AG89" s="344"/>
      <c r="AH89" s="344"/>
      <c r="AI89" s="344"/>
      <c r="AJ89" s="344"/>
      <c r="AL89" s="344"/>
      <c r="AM89" s="344"/>
      <c r="AN89" s="344"/>
      <c r="AO89" s="344"/>
      <c r="AP89" s="344"/>
      <c r="AR89" s="344"/>
      <c r="AS89" s="344"/>
      <c r="AT89" s="344"/>
      <c r="AU89" s="344"/>
      <c r="AV89" s="344"/>
      <c r="AX89" s="344"/>
      <c r="AY89" s="344"/>
      <c r="AZ89" s="344"/>
      <c r="BA89" s="344"/>
      <c r="BB89" s="344"/>
    </row>
    <row r="90" spans="1:54" ht="19.5" customHeight="1" x14ac:dyDescent="0.25"/>
    <row r="91" spans="1:54" ht="25.5" customHeight="1" x14ac:dyDescent="0.35">
      <c r="A91" s="1056" t="s">
        <v>117</v>
      </c>
      <c r="B91" s="1056"/>
      <c r="C91" s="1056"/>
      <c r="F91" s="643" t="s">
        <v>118</v>
      </c>
    </row>
    <row r="92" spans="1:54" ht="15.75" thickBot="1" x14ac:dyDescent="0.3"/>
    <row r="93" spans="1:54" ht="31.5" customHeight="1" thickBot="1" x14ac:dyDescent="0.3">
      <c r="A93" s="1425" t="s">
        <v>18</v>
      </c>
      <c r="B93" s="1426"/>
      <c r="C93" s="281" t="s">
        <v>148</v>
      </c>
      <c r="D93" s="284" t="s">
        <v>391</v>
      </c>
      <c r="E93" s="279" t="s">
        <v>799</v>
      </c>
      <c r="F93" s="1429" t="s">
        <v>800</v>
      </c>
      <c r="G93" s="1430"/>
      <c r="H93" s="276" t="s">
        <v>801</v>
      </c>
    </row>
    <row r="94" spans="1:54" ht="30" x14ac:dyDescent="0.25">
      <c r="A94" s="1191">
        <f>'Respondent Information'!C6</f>
        <v>0</v>
      </c>
      <c r="B94" s="1187"/>
      <c r="C94" s="282" t="s">
        <v>802</v>
      </c>
      <c r="D94" s="285">
        <v>5</v>
      </c>
      <c r="E94" s="280">
        <f>IF(F5&lt;&gt;"Yes",0,IF(F73="--",5,IF(F73&gt;=0.002,0,IF(F73&gt;0.00099,3,5))))</f>
        <v>0</v>
      </c>
      <c r="F94" s="1421">
        <f>IF($F$5&lt;&gt;"Yes", 0, IF(L73="--",5,IF(L73&gt;=0.002,0,IF(L73&gt;0.00099,3,5))))</f>
        <v>0</v>
      </c>
      <c r="G94" s="1421"/>
      <c r="H94" s="278">
        <f>IF($F$5&lt;&gt;"Yes", 0, IF(R73="--", 5, IF(R73&gt;=0.002, 0, IF(R73&gt;0.00099, 3, 5))))</f>
        <v>0</v>
      </c>
    </row>
    <row r="95" spans="1:54" ht="15" customHeight="1" x14ac:dyDescent="0.25">
      <c r="A95" s="1397"/>
      <c r="B95" s="1398"/>
      <c r="C95" s="283" t="s">
        <v>797</v>
      </c>
      <c r="D95" s="26">
        <v>20</v>
      </c>
      <c r="E95" s="141">
        <f>IF($F$5&lt;&gt;"Yes",0,IF(K126&gt;0,0,20))</f>
        <v>0</v>
      </c>
      <c r="F95" s="1392">
        <f>IF($F$5&lt;&gt;"Yes", 0, IF(L126&gt;0, 0, 20))</f>
        <v>0</v>
      </c>
      <c r="G95" s="1392"/>
      <c r="H95" s="117">
        <f>IF($F$5&lt;&gt;"Yes", 0, IF(M126&gt;0, 0, 20))</f>
        <v>0</v>
      </c>
    </row>
    <row r="96" spans="1:54" ht="15" customHeight="1" x14ac:dyDescent="0.25">
      <c r="A96" s="1397"/>
      <c r="B96" s="1398"/>
      <c r="C96" s="283" t="s">
        <v>798</v>
      </c>
      <c r="D96" s="26">
        <v>8</v>
      </c>
      <c r="E96" s="141">
        <f>IF($F$5&lt;&gt;"Yes", 0, IF(K136&gt;0, 0, 8))</f>
        <v>0</v>
      </c>
      <c r="F96" s="1392">
        <f>IF($F$5&lt;&gt;"Yes", 0, IF(L136&gt;0, 0, 8))</f>
        <v>0</v>
      </c>
      <c r="G96" s="1392"/>
      <c r="H96" s="117">
        <f>IF($F$5&lt;&gt;"Yes", 0, IF(M136&gt;0, 0, 8))</f>
        <v>0</v>
      </c>
    </row>
    <row r="97" spans="1:8" ht="15" customHeight="1" thickBot="1" x14ac:dyDescent="0.3">
      <c r="A97" s="1399"/>
      <c r="B97" s="1400"/>
      <c r="C97" s="1393" t="s">
        <v>126</v>
      </c>
      <c r="D97" s="1394"/>
      <c r="E97" s="1393"/>
      <c r="F97" s="1393"/>
      <c r="G97" s="1393"/>
      <c r="H97" s="126">
        <f>SUM(E94:H96)</f>
        <v>0</v>
      </c>
    </row>
    <row r="98" spans="1:8" ht="30" x14ac:dyDescent="0.25">
      <c r="A98" s="1168">
        <f>'Respondent Information'!C9</f>
        <v>0</v>
      </c>
      <c r="B98" s="1401"/>
      <c r="C98" s="282" t="s">
        <v>802</v>
      </c>
      <c r="D98" s="289">
        <v>5</v>
      </c>
      <c r="E98" s="286">
        <f>IF($F$5&lt;&gt;"Yes", 0, IF(X73="--", 5, IF(X73&gt;=0.002, 0, IF(X73&gt;0.00099, 3, 5))))</f>
        <v>0</v>
      </c>
      <c r="F98" s="1421">
        <f>IF($F$5&lt;&gt;"Yes", 0, IF(AD73="--", 5, IF(AD73&gt;=0.002, 0, IF(AD73&gt;0.00099, 3, 5))))</f>
        <v>0</v>
      </c>
      <c r="G98" s="1421"/>
      <c r="H98" s="278">
        <f>IF($F$5&lt;&gt;"Yes", 0, IF(AJ73="--", 5, IF(AJ73&gt;=0.002, 0, IF(AJ73&gt;0.00099, 3, 5))))</f>
        <v>0</v>
      </c>
    </row>
    <row r="99" spans="1:8" ht="15" customHeight="1" x14ac:dyDescent="0.25">
      <c r="A99" s="1402"/>
      <c r="B99" s="1403"/>
      <c r="C99" s="288" t="s">
        <v>797</v>
      </c>
      <c r="D99" s="190">
        <v>20</v>
      </c>
      <c r="E99" s="287">
        <f>IF($F$5&lt;&gt;"Yes", 0, IF(N126&gt;0, 0, 20))</f>
        <v>0</v>
      </c>
      <c r="F99" s="1392">
        <f>IF($F$5&lt;&gt;"Yes", 0,IF(O126&gt;0, 0, 20))</f>
        <v>0</v>
      </c>
      <c r="G99" s="1392"/>
      <c r="H99" s="117">
        <f>IF($F$5&lt;&gt;"Yes", 0, IF(P126&gt;0, 0, 20))</f>
        <v>0</v>
      </c>
    </row>
    <row r="100" spans="1:8" ht="15" customHeight="1" x14ac:dyDescent="0.25">
      <c r="A100" s="1402"/>
      <c r="B100" s="1403"/>
      <c r="C100" s="288" t="s">
        <v>798</v>
      </c>
      <c r="D100" s="190">
        <v>8</v>
      </c>
      <c r="E100" s="287">
        <f>IF($F$5&lt;&gt;"Yes", 0, IF(N136&gt;0, 0, 8))</f>
        <v>0</v>
      </c>
      <c r="F100" s="1392">
        <f>IF($F$5&lt;&gt;"Yes", 0,IF(O136&gt;0, 0, 8))</f>
        <v>0</v>
      </c>
      <c r="G100" s="1392"/>
      <c r="H100" s="117">
        <f>IF($F$5&lt;&gt;"Yes", 0,IF(P136&gt;0, 0, 8))</f>
        <v>0</v>
      </c>
    </row>
    <row r="101" spans="1:8" ht="15" customHeight="1" thickBot="1" x14ac:dyDescent="0.3">
      <c r="A101" s="1404"/>
      <c r="B101" s="1405"/>
      <c r="C101" s="1395" t="s">
        <v>126</v>
      </c>
      <c r="D101" s="1396"/>
      <c r="E101" s="1395"/>
      <c r="F101" s="1395"/>
      <c r="G101" s="1395"/>
      <c r="H101" s="126">
        <f>SUM(E98:H100)</f>
        <v>0</v>
      </c>
    </row>
    <row r="102" spans="1:8" ht="30" x14ac:dyDescent="0.25">
      <c r="A102" s="1406">
        <f>'Respondent Information'!C12</f>
        <v>0</v>
      </c>
      <c r="B102" s="1407"/>
      <c r="C102" s="282" t="s">
        <v>802</v>
      </c>
      <c r="D102" s="285">
        <v>5</v>
      </c>
      <c r="E102" s="290">
        <f>IF($F$5&lt;&gt;"Yes", 0,IF(AP73="--", 5, IF(AP73&gt;=0.002, 0, IF(AP73&gt;0.00099, 3, 5))))</f>
        <v>0</v>
      </c>
      <c r="F102" s="1422">
        <f>IF($F$5&lt;&gt;"Yes", 0,IF(AV73="--", 5, IF(AV73&gt;=0.002, 0, IF(AV73&gt;0.00099, 3, 5))))</f>
        <v>0</v>
      </c>
      <c r="G102" s="1422"/>
      <c r="H102" s="277">
        <f>IF($F$5&lt;&gt;"Yes", 0,IF(BB73="--", 5, IF(BB73&gt;=0.002, 0, IF(BB73&gt;0.00099, 3, 5))))</f>
        <v>0</v>
      </c>
    </row>
    <row r="103" spans="1:8" ht="15.75" customHeight="1" x14ac:dyDescent="0.25">
      <c r="A103" s="1397"/>
      <c r="B103" s="1398"/>
      <c r="C103" s="283" t="s">
        <v>797</v>
      </c>
      <c r="D103" s="26">
        <v>20</v>
      </c>
      <c r="E103" s="141">
        <f>IF($F$5&lt;&gt;"Yes", 0,IF(Q126&gt;0, 0, 20))</f>
        <v>0</v>
      </c>
      <c r="F103" s="1392">
        <f>IF($F$5&lt;&gt;"Yes", 0, IF(R126&gt;0, 0, 20))</f>
        <v>0</v>
      </c>
      <c r="G103" s="1392"/>
      <c r="H103" s="117">
        <f>IF($F$5&lt;&gt;"Yes", 0, IF(S126&gt;0, 0,20))</f>
        <v>0</v>
      </c>
    </row>
    <row r="104" spans="1:8" ht="15" customHeight="1" x14ac:dyDescent="0.25">
      <c r="A104" s="1397"/>
      <c r="B104" s="1398"/>
      <c r="C104" s="283" t="s">
        <v>798</v>
      </c>
      <c r="D104" s="26">
        <v>8</v>
      </c>
      <c r="E104" s="141">
        <f>IF($F$5&lt;&gt;"Yes", 0, IF(Q136&gt;0, 0, 8))</f>
        <v>0</v>
      </c>
      <c r="F104" s="1392">
        <f>IF($F$5&lt;&gt;"Yes", 0, IF(R136&gt;0, 0, 8))</f>
        <v>0</v>
      </c>
      <c r="G104" s="1392"/>
      <c r="H104" s="117">
        <f>IF($F$5&lt;&gt;"Yes", 0, IF(S136&gt;0, 0, 8))</f>
        <v>0</v>
      </c>
    </row>
    <row r="105" spans="1:8" ht="15.75" customHeight="1" thickBot="1" x14ac:dyDescent="0.3">
      <c r="A105" s="1399"/>
      <c r="B105" s="1400"/>
      <c r="C105" s="1393" t="s">
        <v>126</v>
      </c>
      <c r="D105" s="1393"/>
      <c r="E105" s="1393"/>
      <c r="F105" s="1393"/>
      <c r="G105" s="1393"/>
      <c r="H105" s="126">
        <f>SUM(E102:H104)</f>
        <v>0</v>
      </c>
    </row>
    <row r="106" spans="1:8" ht="15.75" customHeight="1" thickBot="1" x14ac:dyDescent="0.3">
      <c r="A106" s="1408" t="s">
        <v>128</v>
      </c>
      <c r="B106" s="1409"/>
      <c r="C106" s="1409"/>
      <c r="D106" s="1409"/>
      <c r="E106" s="1409"/>
      <c r="F106" s="1409"/>
      <c r="G106" s="1409"/>
      <c r="H106" s="127">
        <f>IF(OR(F5="No", ISBLANK(F5)), 0, SUM(H97,H101,H105))</f>
        <v>0</v>
      </c>
    </row>
    <row r="107" spans="1:8" ht="15" customHeight="1" x14ac:dyDescent="0.25"/>
    <row r="108" spans="1:8" ht="15.75" customHeight="1" x14ac:dyDescent="0.25"/>
    <row r="109" spans="1:8" x14ac:dyDescent="0.25">
      <c r="A109" s="237"/>
      <c r="B109" s="237"/>
    </row>
    <row r="119" spans="2:19" hidden="1" x14ac:dyDescent="0.25">
      <c r="K119" t="s">
        <v>797</v>
      </c>
    </row>
    <row r="120" spans="2:19" hidden="1" x14ac:dyDescent="0.25">
      <c r="K120" t="s">
        <v>803</v>
      </c>
      <c r="L120" t="s">
        <v>804</v>
      </c>
      <c r="M120" t="s">
        <v>805</v>
      </c>
      <c r="N120" t="s">
        <v>806</v>
      </c>
      <c r="O120" t="s">
        <v>807</v>
      </c>
      <c r="P120" t="s">
        <v>808</v>
      </c>
      <c r="Q120" t="s">
        <v>809</v>
      </c>
      <c r="R120" t="s">
        <v>810</v>
      </c>
      <c r="S120" t="s">
        <v>811</v>
      </c>
    </row>
    <row r="121" spans="2:19" hidden="1" x14ac:dyDescent="0.25">
      <c r="B121" t="s">
        <v>812</v>
      </c>
      <c r="C121" t="s">
        <v>813</v>
      </c>
      <c r="K121">
        <f>IF(ISBLANK(F76), 0, 1)</f>
        <v>0</v>
      </c>
      <c r="L121">
        <f>IF(ISBLANK(L76), 0, 1)</f>
        <v>0</v>
      </c>
      <c r="M121">
        <f>IF(ISBLANK(R76), 0, 1)</f>
        <v>0</v>
      </c>
      <c r="N121">
        <f>IF(ISBLANK(X76), 0, 1)</f>
        <v>0</v>
      </c>
      <c r="O121">
        <f>IF(ISBLANK(AD76), 0, 1)</f>
        <v>0</v>
      </c>
      <c r="P121">
        <f>IF(ISBLANK(AJ76), 0, 1)</f>
        <v>0</v>
      </c>
      <c r="Q121">
        <f>IF(ISBLANK(AP76), 0, 1)</f>
        <v>0</v>
      </c>
      <c r="R121">
        <f>IF(ISBLANK(AV76), 0, 1)</f>
        <v>0</v>
      </c>
      <c r="S121">
        <f>IF(ISBLANK(BB76), 0, 1)</f>
        <v>0</v>
      </c>
    </row>
    <row r="122" spans="2:19" hidden="1" x14ac:dyDescent="0.25">
      <c r="B122" t="s">
        <v>814</v>
      </c>
      <c r="C122" t="s">
        <v>815</v>
      </c>
      <c r="K122">
        <f>IF(ISBLANK(F77), 0, 1)</f>
        <v>0</v>
      </c>
      <c r="L122">
        <f>IF(ISBLANK(L77), 0, 1)</f>
        <v>0</v>
      </c>
      <c r="M122">
        <f>IF(ISBLANK(R77), 0, 1)</f>
        <v>0</v>
      </c>
      <c r="N122">
        <f>IF(ISBLANK(X77), 0, 1)</f>
        <v>0</v>
      </c>
      <c r="O122">
        <f>IF(ISBLANK(AD77), 0, 1)</f>
        <v>0</v>
      </c>
      <c r="P122">
        <f>IF(ISBLANK(AJ77), 0, 1)</f>
        <v>0</v>
      </c>
      <c r="Q122">
        <f>IF(ISBLANK(AP77), 0, 1)</f>
        <v>0</v>
      </c>
      <c r="R122">
        <f>IF(ISBLANK(AV77), 0, 1)</f>
        <v>0</v>
      </c>
      <c r="S122">
        <f>IF(ISBLANK(BB77), 0, 1)</f>
        <v>0</v>
      </c>
    </row>
    <row r="123" spans="2:19" hidden="1" x14ac:dyDescent="0.25">
      <c r="B123" t="s">
        <v>816</v>
      </c>
      <c r="C123" t="s">
        <v>817</v>
      </c>
      <c r="K123">
        <f>IF(ISBLANK(F78), 0, 1)</f>
        <v>0</v>
      </c>
      <c r="L123">
        <f>IF(ISBLANK(L78), 0, 1)</f>
        <v>0</v>
      </c>
      <c r="M123">
        <f>IF(ISBLANK(R78), 0, 1)</f>
        <v>0</v>
      </c>
      <c r="N123">
        <f>IF(ISBLANK(X78), 0, 1)</f>
        <v>0</v>
      </c>
      <c r="O123">
        <f>IF(ISBLANK(AD78), 0, 1)</f>
        <v>0</v>
      </c>
      <c r="P123">
        <f>IF(ISBLANK(AJ78), 0, 1)</f>
        <v>0</v>
      </c>
      <c r="Q123">
        <f>IF(ISBLANK(AP78), 0, 1)</f>
        <v>0</v>
      </c>
      <c r="R123">
        <f>IF(ISBLANK(AV78), 0, 1)</f>
        <v>0</v>
      </c>
      <c r="S123">
        <f>IF(ISBLANK(BB78), 0, 1)</f>
        <v>0</v>
      </c>
    </row>
    <row r="124" spans="2:19" hidden="1" x14ac:dyDescent="0.25">
      <c r="B124" t="s">
        <v>818</v>
      </c>
      <c r="C124" t="s">
        <v>819</v>
      </c>
      <c r="K124">
        <f>IF(ISBLANK(F79), 0, 1)</f>
        <v>0</v>
      </c>
      <c r="L124">
        <f>IF(ISBLANK(L79), 0, 1)</f>
        <v>0</v>
      </c>
      <c r="M124">
        <f>IF(ISBLANK(R79), 0, 1)</f>
        <v>0</v>
      </c>
      <c r="N124">
        <f>IF(ISBLANK(X79), 0, 1)</f>
        <v>0</v>
      </c>
      <c r="O124">
        <f>IF(ISBLANK(AD79), 0, 1)</f>
        <v>0</v>
      </c>
      <c r="P124">
        <f>IF(ISBLANK(AJ79), 0, 1)</f>
        <v>0</v>
      </c>
      <c r="Q124">
        <f>IF(ISBLANK(AP79), 0, 1)</f>
        <v>0</v>
      </c>
      <c r="R124">
        <f>IF(ISBLANK(AV79), 0, 1)</f>
        <v>0</v>
      </c>
      <c r="S124">
        <f>IF(ISBLANK(BB79), 0, 1)</f>
        <v>0</v>
      </c>
    </row>
    <row r="125" spans="2:19" hidden="1" x14ac:dyDescent="0.25">
      <c r="B125" t="s">
        <v>820</v>
      </c>
      <c r="C125" t="s">
        <v>821</v>
      </c>
      <c r="K125">
        <f>IF(ISBLANK(F80), 0, 1)</f>
        <v>0</v>
      </c>
      <c r="L125">
        <f>IF(ISBLANK(L80), 0, 1)</f>
        <v>0</v>
      </c>
      <c r="M125">
        <f>IF(ISBLANK(R80), 0, 1)</f>
        <v>0</v>
      </c>
      <c r="N125">
        <f>IF(ISBLANK(X80), 0, 1)</f>
        <v>0</v>
      </c>
      <c r="O125">
        <f>IF(ISBLANK(AD80), 0, 1)</f>
        <v>0</v>
      </c>
      <c r="P125">
        <f>IF(ISBLANK(AJ80), 0, 1)</f>
        <v>0</v>
      </c>
      <c r="Q125">
        <f>IF(ISBLANK(AP80), 0, 1)</f>
        <v>0</v>
      </c>
      <c r="R125">
        <f>IF(ISBLANK(AV80), 0, 1)</f>
        <v>0</v>
      </c>
      <c r="S125">
        <f>IF(ISBLANK(BB80), 0, 1)</f>
        <v>0</v>
      </c>
    </row>
    <row r="126" spans="2:19" hidden="1" x14ac:dyDescent="0.25">
      <c r="B126" t="s">
        <v>822</v>
      </c>
      <c r="C126" t="s">
        <v>823</v>
      </c>
      <c r="K126">
        <f>SUM(K121:K125)</f>
        <v>0</v>
      </c>
      <c r="L126">
        <f t="shared" ref="L126:S126" si="0">SUM(L121:L125)</f>
        <v>0</v>
      </c>
      <c r="M126">
        <f t="shared" si="0"/>
        <v>0</v>
      </c>
      <c r="N126">
        <f t="shared" si="0"/>
        <v>0</v>
      </c>
      <c r="O126">
        <f t="shared" si="0"/>
        <v>0</v>
      </c>
      <c r="P126">
        <f t="shared" si="0"/>
        <v>0</v>
      </c>
      <c r="Q126">
        <f t="shared" si="0"/>
        <v>0</v>
      </c>
      <c r="R126">
        <f t="shared" si="0"/>
        <v>0</v>
      </c>
      <c r="S126">
        <f t="shared" si="0"/>
        <v>0</v>
      </c>
    </row>
    <row r="127" spans="2:19" hidden="1" x14ac:dyDescent="0.25"/>
    <row r="128" spans="2:19" hidden="1" x14ac:dyDescent="0.25"/>
    <row r="129" spans="11:19" hidden="1" x14ac:dyDescent="0.25">
      <c r="K129" t="s">
        <v>824</v>
      </c>
    </row>
    <row r="130" spans="11:19" hidden="1" x14ac:dyDescent="0.25">
      <c r="K130" t="s">
        <v>803</v>
      </c>
      <c r="L130" t="s">
        <v>804</v>
      </c>
      <c r="M130" t="s">
        <v>805</v>
      </c>
      <c r="N130" t="s">
        <v>806</v>
      </c>
      <c r="O130" t="s">
        <v>807</v>
      </c>
      <c r="P130" t="s">
        <v>808</v>
      </c>
      <c r="Q130" t="s">
        <v>809</v>
      </c>
      <c r="R130" t="s">
        <v>810</v>
      </c>
      <c r="S130" t="s">
        <v>811</v>
      </c>
    </row>
    <row r="131" spans="11:19" hidden="1" x14ac:dyDescent="0.25">
      <c r="K131">
        <f>IF(ISBLANK(F83), 0, 1)</f>
        <v>0</v>
      </c>
      <c r="L131">
        <f>IF(ISBLANK(L83), 0, 1)</f>
        <v>0</v>
      </c>
      <c r="M131">
        <f>IF(ISBLANK(R83), 0, 1)</f>
        <v>0</v>
      </c>
      <c r="N131">
        <f>IF(ISBLANK(X83), 0, 1)</f>
        <v>0</v>
      </c>
      <c r="O131">
        <f>IF(ISBLANK(AD83), 0, 1)</f>
        <v>0</v>
      </c>
      <c r="P131">
        <f>IF(ISBLANK(AJ83), 0, 1)</f>
        <v>0</v>
      </c>
      <c r="Q131">
        <f>IF(ISBLANK(AP83), 0, 1)</f>
        <v>0</v>
      </c>
      <c r="R131">
        <f>IF(ISBLANK(AV83), 0, 1)</f>
        <v>0</v>
      </c>
      <c r="S131">
        <f>IF(ISBLANK(BB83), 0, 1)</f>
        <v>0</v>
      </c>
    </row>
    <row r="132" spans="11:19" hidden="1" x14ac:dyDescent="0.25">
      <c r="K132">
        <f>IF(ISBLANK(F84), 0, 1)</f>
        <v>0</v>
      </c>
      <c r="L132">
        <f>IF(ISBLANK(L84), 0, 1)</f>
        <v>0</v>
      </c>
      <c r="M132">
        <f>IF(ISBLANK(R84), 0, 1)</f>
        <v>0</v>
      </c>
      <c r="N132">
        <f>IF(ISBLANK(X84), 0, 1)</f>
        <v>0</v>
      </c>
      <c r="O132">
        <f>IF(ISBLANK(AD84), 0, 1)</f>
        <v>0</v>
      </c>
      <c r="P132">
        <f>IF(ISBLANK(AJ84), 0, 1)</f>
        <v>0</v>
      </c>
      <c r="Q132">
        <f>IF(ISBLANK(AP84), 0, 1)</f>
        <v>0</v>
      </c>
      <c r="R132">
        <f>IF(ISBLANK(AV84), 0, 1)</f>
        <v>0</v>
      </c>
      <c r="S132">
        <f>IF(ISBLANK(BB84), 0, 1)</f>
        <v>0</v>
      </c>
    </row>
    <row r="133" spans="11:19" hidden="1" x14ac:dyDescent="0.25">
      <c r="K133">
        <f>IF(ISBLANK(F85), 0, 1)</f>
        <v>0</v>
      </c>
      <c r="L133">
        <f>IF(ISBLANK(L85), 0, 1)</f>
        <v>0</v>
      </c>
      <c r="M133">
        <f>IF(ISBLANK(R85), 0, 1)</f>
        <v>0</v>
      </c>
      <c r="N133">
        <f>IF(ISBLANK(X85), 0, 1)</f>
        <v>0</v>
      </c>
      <c r="O133">
        <f>IF(ISBLANK(AD85), 0, 1)</f>
        <v>0</v>
      </c>
      <c r="P133">
        <f>IF(ISBLANK(AJ85), 0, 1)</f>
        <v>0</v>
      </c>
      <c r="Q133">
        <f>IF(ISBLANK(AP85), 0, 1)</f>
        <v>0</v>
      </c>
      <c r="R133">
        <f>IF(ISBLANK(AV85), 0, 1)</f>
        <v>0</v>
      </c>
      <c r="S133">
        <f>IF(ISBLANK(BB85), 0, 1)</f>
        <v>0</v>
      </c>
    </row>
    <row r="134" spans="11:19" hidden="1" x14ac:dyDescent="0.25">
      <c r="K134">
        <f>IF(ISBLANK(F86), 0, 1)</f>
        <v>0</v>
      </c>
      <c r="L134">
        <f>IF(ISBLANK(L86), 0, 1)</f>
        <v>0</v>
      </c>
      <c r="M134">
        <f>IF(ISBLANK(R86), 0, 1)</f>
        <v>0</v>
      </c>
      <c r="N134">
        <f>IF(ISBLANK(X86), 0, 1)</f>
        <v>0</v>
      </c>
      <c r="O134">
        <f>IF(ISBLANK(AD86), 0, 1)</f>
        <v>0</v>
      </c>
      <c r="P134">
        <f>IF(ISBLANK(AJ86), 0, 1)</f>
        <v>0</v>
      </c>
      <c r="Q134">
        <f>IF(ISBLANK(AP86), 0, 1)</f>
        <v>0</v>
      </c>
      <c r="R134">
        <f>IF(ISBLANK(AV86), 0, 1)</f>
        <v>0</v>
      </c>
      <c r="S134">
        <f>IF(ISBLANK(BB86), 0, 1)</f>
        <v>0</v>
      </c>
    </row>
    <row r="135" spans="11:19" hidden="1" x14ac:dyDescent="0.25">
      <c r="K135">
        <f>IF(ISBLANK(F87), 0, 1)</f>
        <v>0</v>
      </c>
      <c r="L135">
        <f>IF(ISBLANK(L87), 0, 1)</f>
        <v>0</v>
      </c>
      <c r="M135">
        <f>IF(ISBLANK(R87), 0, 1)</f>
        <v>0</v>
      </c>
      <c r="N135">
        <f>IF(ISBLANK(X87), 0, 1)</f>
        <v>0</v>
      </c>
      <c r="O135">
        <f>IF(ISBLANK(AD87), 0, 1)</f>
        <v>0</v>
      </c>
      <c r="P135">
        <f>IF(ISBLANK(AJ87), 0, 1)</f>
        <v>0</v>
      </c>
      <c r="Q135">
        <f>IF(ISBLANK(AP87), 0, 1)</f>
        <v>0</v>
      </c>
      <c r="R135">
        <f>IF(ISBLANK(AV87), 0, 1)</f>
        <v>0</v>
      </c>
      <c r="S135">
        <f>IF(ISBLANK(BB87), 0, 1)</f>
        <v>0</v>
      </c>
    </row>
    <row r="136" spans="11:19" hidden="1" x14ac:dyDescent="0.25">
      <c r="K136">
        <f>SUM(K131:K135)</f>
        <v>0</v>
      </c>
      <c r="L136">
        <f t="shared" ref="L136:S136" si="1">SUM(L131:L135)</f>
        <v>0</v>
      </c>
      <c r="M136">
        <f t="shared" si="1"/>
        <v>0</v>
      </c>
      <c r="N136">
        <f t="shared" si="1"/>
        <v>0</v>
      </c>
      <c r="O136">
        <f t="shared" si="1"/>
        <v>0</v>
      </c>
      <c r="P136">
        <f t="shared" si="1"/>
        <v>0</v>
      </c>
      <c r="Q136">
        <f t="shared" si="1"/>
        <v>0</v>
      </c>
      <c r="R136">
        <f t="shared" si="1"/>
        <v>0</v>
      </c>
      <c r="S136">
        <f t="shared" si="1"/>
        <v>0</v>
      </c>
    </row>
    <row r="137" spans="11:19" hidden="1" x14ac:dyDescent="0.25"/>
    <row r="138" spans="11:19" hidden="1" x14ac:dyDescent="0.25"/>
    <row r="139" spans="11:19" hidden="1" x14ac:dyDescent="0.25"/>
    <row r="140" spans="11:19" hidden="1" x14ac:dyDescent="0.25"/>
  </sheetData>
  <sheetProtection algorithmName="SHA-512" hashValue="ZmpSQ8ecSSw2dHfUm04Albh7UT05+EPoPs/u2pvR3lJ3hEeWYiON+V4femoZX8lQ66UiH7mwe/HHzcEF3bue5g==" saltValue="/moSAo2c1lTV5/IqPjYOXA==" spinCount="100000" sheet="1" objects="1" scenarios="1"/>
  <mergeCells count="742">
    <mergeCell ref="E3:F3"/>
    <mergeCell ref="E1:F1"/>
    <mergeCell ref="AY47:AZ47"/>
    <mergeCell ref="AY48:AZ48"/>
    <mergeCell ref="AY49:AZ49"/>
    <mergeCell ref="AY50:AZ50"/>
    <mergeCell ref="AY51:AZ51"/>
    <mergeCell ref="AY52:AZ52"/>
    <mergeCell ref="AY53:AZ53"/>
    <mergeCell ref="AS30:AT30"/>
    <mergeCell ref="AS31:AT31"/>
    <mergeCell ref="AS32:AT32"/>
    <mergeCell ref="AS33:AT33"/>
    <mergeCell ref="AS34:AT34"/>
    <mergeCell ref="AM51:AN51"/>
    <mergeCell ref="AM52:AN52"/>
    <mergeCell ref="AM53:AN53"/>
    <mergeCell ref="AM45:AN45"/>
    <mergeCell ref="AM46:AN46"/>
    <mergeCell ref="AM47:AN47"/>
    <mergeCell ref="AM48:AN48"/>
    <mergeCell ref="AM49:AN49"/>
    <mergeCell ref="AM50:AN50"/>
    <mergeCell ref="AM33:AN33"/>
    <mergeCell ref="AY54:AZ54"/>
    <mergeCell ref="AY35:AZ35"/>
    <mergeCell ref="AY36:AZ36"/>
    <mergeCell ref="AY37:AZ37"/>
    <mergeCell ref="AY38:AZ38"/>
    <mergeCell ref="AY39:AZ39"/>
    <mergeCell ref="AY40:AZ40"/>
    <mergeCell ref="AS48:AT48"/>
    <mergeCell ref="AS49:AT49"/>
    <mergeCell ref="AS50:AT50"/>
    <mergeCell ref="AS51:AT51"/>
    <mergeCell ref="AS52:AT52"/>
    <mergeCell ref="AS53:AT53"/>
    <mergeCell ref="AS54:AT54"/>
    <mergeCell ref="AS46:AT46"/>
    <mergeCell ref="AS47:AT47"/>
    <mergeCell ref="AS35:AT35"/>
    <mergeCell ref="AS36:AT36"/>
    <mergeCell ref="AS37:AT37"/>
    <mergeCell ref="AS38:AT38"/>
    <mergeCell ref="AY55:AZ55"/>
    <mergeCell ref="AE10:AJ10"/>
    <mergeCell ref="AK10:AP10"/>
    <mergeCell ref="AQ10:AV10"/>
    <mergeCell ref="AW10:BB10"/>
    <mergeCell ref="A10:F10"/>
    <mergeCell ref="G10:L10"/>
    <mergeCell ref="M10:R10"/>
    <mergeCell ref="S10:X10"/>
    <mergeCell ref="Y10:AD10"/>
    <mergeCell ref="AY27:AZ27"/>
    <mergeCell ref="AY28:AZ28"/>
    <mergeCell ref="AY41:AZ41"/>
    <mergeCell ref="AY42:AZ42"/>
    <mergeCell ref="AY43:AZ43"/>
    <mergeCell ref="AY44:AZ44"/>
    <mergeCell ref="AY45:AZ45"/>
    <mergeCell ref="AY46:AZ46"/>
    <mergeCell ref="AY29:AZ29"/>
    <mergeCell ref="AY30:AZ30"/>
    <mergeCell ref="AY31:AZ31"/>
    <mergeCell ref="AY32:AZ32"/>
    <mergeCell ref="AY33:AZ33"/>
    <mergeCell ref="AY34:AZ34"/>
    <mergeCell ref="AS55:AT55"/>
    <mergeCell ref="AY11:AZ11"/>
    <mergeCell ref="AY12:AZ12"/>
    <mergeCell ref="AY13:AZ13"/>
    <mergeCell ref="AY14:AZ14"/>
    <mergeCell ref="AY15:AZ15"/>
    <mergeCell ref="AY16:AZ16"/>
    <mergeCell ref="AY17:AZ17"/>
    <mergeCell ref="AY18:AZ18"/>
    <mergeCell ref="AY19:AZ19"/>
    <mergeCell ref="AY20:AZ20"/>
    <mergeCell ref="AY21:AZ21"/>
    <mergeCell ref="AY22:AZ22"/>
    <mergeCell ref="AY23:AZ23"/>
    <mergeCell ref="AY24:AZ24"/>
    <mergeCell ref="AY25:AZ25"/>
    <mergeCell ref="AY26:AZ26"/>
    <mergeCell ref="AS39:AT39"/>
    <mergeCell ref="AS40:AT40"/>
    <mergeCell ref="AS41:AT41"/>
    <mergeCell ref="AS42:AT42"/>
    <mergeCell ref="AS43:AT43"/>
    <mergeCell ref="AS44:AT44"/>
    <mergeCell ref="AS45:AT45"/>
    <mergeCell ref="AM54:AN54"/>
    <mergeCell ref="AM55:AN55"/>
    <mergeCell ref="AS11:AT11"/>
    <mergeCell ref="AS12:AT12"/>
    <mergeCell ref="AS13:AT13"/>
    <mergeCell ref="AS14:AT14"/>
    <mergeCell ref="AS15:AT15"/>
    <mergeCell ref="AS16:AT16"/>
    <mergeCell ref="AS17:AT17"/>
    <mergeCell ref="AS18:AT18"/>
    <mergeCell ref="AS19:AT19"/>
    <mergeCell ref="AS20:AT20"/>
    <mergeCell ref="AS21:AT21"/>
    <mergeCell ref="AS22:AT22"/>
    <mergeCell ref="AS23:AT23"/>
    <mergeCell ref="AS24:AT24"/>
    <mergeCell ref="AS25:AT25"/>
    <mergeCell ref="AS26:AT26"/>
    <mergeCell ref="AS27:AT27"/>
    <mergeCell ref="AS28:AT28"/>
    <mergeCell ref="AS29:AT29"/>
    <mergeCell ref="AM42:AN42"/>
    <mergeCell ref="AM43:AN43"/>
    <mergeCell ref="AM44:AN44"/>
    <mergeCell ref="AG53:AH53"/>
    <mergeCell ref="AG54:AH54"/>
    <mergeCell ref="AG55:AH55"/>
    <mergeCell ref="AG56:AH56"/>
    <mergeCell ref="AG39:AH39"/>
    <mergeCell ref="AG40:AH40"/>
    <mergeCell ref="AG41:AH41"/>
    <mergeCell ref="AG42:AH42"/>
    <mergeCell ref="AG43:AH43"/>
    <mergeCell ref="AG44:AH44"/>
    <mergeCell ref="AG45:AH45"/>
    <mergeCell ref="AG49:AH49"/>
    <mergeCell ref="AG50:AH50"/>
    <mergeCell ref="AG51:AH51"/>
    <mergeCell ref="AG52:AH52"/>
    <mergeCell ref="AM29:AN29"/>
    <mergeCell ref="AM30:AN30"/>
    <mergeCell ref="AM31:AN31"/>
    <mergeCell ref="AM32:AN32"/>
    <mergeCell ref="AG48:AH48"/>
    <mergeCell ref="AM34:AN34"/>
    <mergeCell ref="AM35:AN35"/>
    <mergeCell ref="AM36:AN36"/>
    <mergeCell ref="AM37:AN37"/>
    <mergeCell ref="AM38:AN38"/>
    <mergeCell ref="AM39:AN39"/>
    <mergeCell ref="AM40:AN40"/>
    <mergeCell ref="AM41:AN41"/>
    <mergeCell ref="AG29:AH29"/>
    <mergeCell ref="AG30:AH30"/>
    <mergeCell ref="AG46:AH46"/>
    <mergeCell ref="AG47:AH47"/>
    <mergeCell ref="AM20:AN20"/>
    <mergeCell ref="AM21:AN21"/>
    <mergeCell ref="AM22:AN22"/>
    <mergeCell ref="AM23:AN23"/>
    <mergeCell ref="AM24:AN24"/>
    <mergeCell ref="AM25:AN25"/>
    <mergeCell ref="AM26:AN26"/>
    <mergeCell ref="AM27:AN27"/>
    <mergeCell ref="AM28:AN28"/>
    <mergeCell ref="AM11:AN11"/>
    <mergeCell ref="AM12:AN12"/>
    <mergeCell ref="AM13:AN13"/>
    <mergeCell ref="AM14:AN14"/>
    <mergeCell ref="AM15:AN15"/>
    <mergeCell ref="AM16:AN16"/>
    <mergeCell ref="AM17:AN17"/>
    <mergeCell ref="AM18:AN18"/>
    <mergeCell ref="AM19:AN19"/>
    <mergeCell ref="AA62:AB62"/>
    <mergeCell ref="AA63:AB63"/>
    <mergeCell ref="AA64:AB64"/>
    <mergeCell ref="AA65:AB65"/>
    <mergeCell ref="AG11:AH11"/>
    <mergeCell ref="AG12:AH12"/>
    <mergeCell ref="AG13:AH13"/>
    <mergeCell ref="AG14:AH14"/>
    <mergeCell ref="AG15:AH15"/>
    <mergeCell ref="AG16:AH16"/>
    <mergeCell ref="AG17:AH17"/>
    <mergeCell ref="AG18:AH18"/>
    <mergeCell ref="AG19:AH19"/>
    <mergeCell ref="AG20:AH20"/>
    <mergeCell ref="AG21:AH21"/>
    <mergeCell ref="AG22:AH22"/>
    <mergeCell ref="AG23:AH23"/>
    <mergeCell ref="AG24:AH24"/>
    <mergeCell ref="AG25:AH25"/>
    <mergeCell ref="AG26:AH26"/>
    <mergeCell ref="AG27:AH27"/>
    <mergeCell ref="AG28:AH28"/>
    <mergeCell ref="AG58:AH58"/>
    <mergeCell ref="AG57:AH57"/>
    <mergeCell ref="AA34:AB34"/>
    <mergeCell ref="AA35:AB35"/>
    <mergeCell ref="AA36:AB36"/>
    <mergeCell ref="AA37:AB37"/>
    <mergeCell ref="AA38:AB38"/>
    <mergeCell ref="AA39:AB39"/>
    <mergeCell ref="AA40:AB40"/>
    <mergeCell ref="AA41:AB41"/>
    <mergeCell ref="AA42:AB42"/>
    <mergeCell ref="AA60:AB60"/>
    <mergeCell ref="AA61:AB61"/>
    <mergeCell ref="AA43:AB43"/>
    <mergeCell ref="AA44:AB44"/>
    <mergeCell ref="AA45:AB45"/>
    <mergeCell ref="AA46:AB46"/>
    <mergeCell ref="AA47:AB47"/>
    <mergeCell ref="AA48:AB48"/>
    <mergeCell ref="AA49:AB49"/>
    <mergeCell ref="AA50:AB50"/>
    <mergeCell ref="AA51:AB51"/>
    <mergeCell ref="AA52:AB52"/>
    <mergeCell ref="AA53:AB53"/>
    <mergeCell ref="AA54:AB54"/>
    <mergeCell ref="AA55:AB55"/>
    <mergeCell ref="AA56:AB56"/>
    <mergeCell ref="AA58:AB58"/>
    <mergeCell ref="AA59:AB59"/>
    <mergeCell ref="U55:V55"/>
    <mergeCell ref="U63:V63"/>
    <mergeCell ref="U64:V64"/>
    <mergeCell ref="U65:V65"/>
    <mergeCell ref="AA11:AB11"/>
    <mergeCell ref="AA12:AB12"/>
    <mergeCell ref="AA13:AB13"/>
    <mergeCell ref="AA14:AB14"/>
    <mergeCell ref="AA15:AB15"/>
    <mergeCell ref="AA16:AB16"/>
    <mergeCell ref="AA17:AB17"/>
    <mergeCell ref="AA18:AB18"/>
    <mergeCell ref="AA19:AB19"/>
    <mergeCell ref="AA20:AB20"/>
    <mergeCell ref="AA21:AB21"/>
    <mergeCell ref="AA22:AB22"/>
    <mergeCell ref="AA23:AB23"/>
    <mergeCell ref="AA24:AB24"/>
    <mergeCell ref="AA25:AB25"/>
    <mergeCell ref="AA26:AB26"/>
    <mergeCell ref="AA30:AB30"/>
    <mergeCell ref="AA31:AB31"/>
    <mergeCell ref="AA32:AB32"/>
    <mergeCell ref="AA33:AB33"/>
    <mergeCell ref="U46:V46"/>
    <mergeCell ref="U47:V47"/>
    <mergeCell ref="U48:V48"/>
    <mergeCell ref="U49:V49"/>
    <mergeCell ref="U50:V50"/>
    <mergeCell ref="U51:V51"/>
    <mergeCell ref="U52:V52"/>
    <mergeCell ref="U53:V53"/>
    <mergeCell ref="U54:V54"/>
    <mergeCell ref="U37:V37"/>
    <mergeCell ref="U38:V38"/>
    <mergeCell ref="U39:V39"/>
    <mergeCell ref="U40:V40"/>
    <mergeCell ref="U41:V41"/>
    <mergeCell ref="U42:V42"/>
    <mergeCell ref="U43:V43"/>
    <mergeCell ref="U44:V44"/>
    <mergeCell ref="U45:V45"/>
    <mergeCell ref="U28:V28"/>
    <mergeCell ref="U29:V29"/>
    <mergeCell ref="U30:V30"/>
    <mergeCell ref="U31:V31"/>
    <mergeCell ref="U32:V32"/>
    <mergeCell ref="U33:V33"/>
    <mergeCell ref="U34:V34"/>
    <mergeCell ref="U35:V35"/>
    <mergeCell ref="U36:V36"/>
    <mergeCell ref="O46:P46"/>
    <mergeCell ref="O47:P47"/>
    <mergeCell ref="O48:P48"/>
    <mergeCell ref="O49:P49"/>
    <mergeCell ref="O50:P50"/>
    <mergeCell ref="O51:P51"/>
    <mergeCell ref="O52:P52"/>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O37:P37"/>
    <mergeCell ref="O38:P38"/>
    <mergeCell ref="O39:P39"/>
    <mergeCell ref="O40:P40"/>
    <mergeCell ref="O41:P41"/>
    <mergeCell ref="O42:P42"/>
    <mergeCell ref="O43:P43"/>
    <mergeCell ref="O44:P44"/>
    <mergeCell ref="O45:P45"/>
    <mergeCell ref="I52:J52"/>
    <mergeCell ref="I53:J53"/>
    <mergeCell ref="I60:J60"/>
    <mergeCell ref="I61:J61"/>
    <mergeCell ref="S73:W73"/>
    <mergeCell ref="Y72:AC72"/>
    <mergeCell ref="Y73:AC73"/>
    <mergeCell ref="AE72:AI72"/>
    <mergeCell ref="AE73:AI73"/>
    <mergeCell ref="O53:P53"/>
    <mergeCell ref="O60:P60"/>
    <mergeCell ref="O61:P61"/>
    <mergeCell ref="O62:P62"/>
    <mergeCell ref="O63:P63"/>
    <mergeCell ref="O64:P64"/>
    <mergeCell ref="O65:P65"/>
    <mergeCell ref="U56:V56"/>
    <mergeCell ref="U57:V57"/>
    <mergeCell ref="U58:V58"/>
    <mergeCell ref="U59:V59"/>
    <mergeCell ref="U60:V60"/>
    <mergeCell ref="U61:V61"/>
    <mergeCell ref="U62:V62"/>
    <mergeCell ref="AA57:AB57"/>
    <mergeCell ref="I43:J43"/>
    <mergeCell ref="I44:J44"/>
    <mergeCell ref="I45:J45"/>
    <mergeCell ref="I46:J46"/>
    <mergeCell ref="I47:J47"/>
    <mergeCell ref="I48:J48"/>
    <mergeCell ref="I49:J49"/>
    <mergeCell ref="I50:J50"/>
    <mergeCell ref="I51:J51"/>
    <mergeCell ref="I34:J34"/>
    <mergeCell ref="I35:J35"/>
    <mergeCell ref="I36:J36"/>
    <mergeCell ref="I37:J37"/>
    <mergeCell ref="I38:J38"/>
    <mergeCell ref="I39:J39"/>
    <mergeCell ref="I40:J40"/>
    <mergeCell ref="I41:J41"/>
    <mergeCell ref="I42:J42"/>
    <mergeCell ref="C65:D65"/>
    <mergeCell ref="I11:J11"/>
    <mergeCell ref="I12:J12"/>
    <mergeCell ref="I13:J13"/>
    <mergeCell ref="I14:J14"/>
    <mergeCell ref="I15:J15"/>
    <mergeCell ref="I16:J16"/>
    <mergeCell ref="I17:J17"/>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C69:D69"/>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21:D21"/>
    <mergeCell ref="C22:D22"/>
    <mergeCell ref="C23:D23"/>
    <mergeCell ref="C24:D24"/>
    <mergeCell ref="C25:D25"/>
    <mergeCell ref="C26:D26"/>
    <mergeCell ref="C27:D27"/>
    <mergeCell ref="C28:D28"/>
    <mergeCell ref="C29:D29"/>
    <mergeCell ref="AY68:AZ68"/>
    <mergeCell ref="G72:K72"/>
    <mergeCell ref="G73:K73"/>
    <mergeCell ref="M72:Q72"/>
    <mergeCell ref="M73:Q73"/>
    <mergeCell ref="S72:W72"/>
    <mergeCell ref="U70:V70"/>
    <mergeCell ref="AA70:AB70"/>
    <mergeCell ref="I71:J71"/>
    <mergeCell ref="O71:P71"/>
    <mergeCell ref="U71:V71"/>
    <mergeCell ref="AA71:AB71"/>
    <mergeCell ref="AK72:AO72"/>
    <mergeCell ref="AK73:AO73"/>
    <mergeCell ref="AQ72:AU72"/>
    <mergeCell ref="AQ73:AU73"/>
    <mergeCell ref="AG68:AH68"/>
    <mergeCell ref="AG69:AH69"/>
    <mergeCell ref="AM68:AN68"/>
    <mergeCell ref="AM69:AN69"/>
    <mergeCell ref="AS68:AT68"/>
    <mergeCell ref="U87:V87"/>
    <mergeCell ref="U82:V82"/>
    <mergeCell ref="AS69:AT69"/>
    <mergeCell ref="AG70:AH70"/>
    <mergeCell ref="AG71:AH71"/>
    <mergeCell ref="AM70:AN70"/>
    <mergeCell ref="AM71:AN71"/>
    <mergeCell ref="AS70:AT70"/>
    <mergeCell ref="AS71:AT71"/>
    <mergeCell ref="U86:V86"/>
    <mergeCell ref="AA80:AB80"/>
    <mergeCell ref="U80:V80"/>
    <mergeCell ref="U83:V83"/>
    <mergeCell ref="U84:V84"/>
    <mergeCell ref="U85:V85"/>
    <mergeCell ref="S81:X81"/>
    <mergeCell ref="AA87:AB87"/>
    <mergeCell ref="AA82:AB82"/>
    <mergeCell ref="AA83:AB83"/>
    <mergeCell ref="AA84:AB84"/>
    <mergeCell ref="AA85:AB85"/>
    <mergeCell ref="AA86:AB86"/>
    <mergeCell ref="Y81:AD81"/>
    <mergeCell ref="A91:C91"/>
    <mergeCell ref="C83:D83"/>
    <mergeCell ref="C84:D84"/>
    <mergeCell ref="C85:D85"/>
    <mergeCell ref="C86:D86"/>
    <mergeCell ref="C87:D87"/>
    <mergeCell ref="C76:D76"/>
    <mergeCell ref="C77:D77"/>
    <mergeCell ref="C78:D78"/>
    <mergeCell ref="C79:D79"/>
    <mergeCell ref="C80:D80"/>
    <mergeCell ref="A81:F81"/>
    <mergeCell ref="C82:D82"/>
    <mergeCell ref="A1:C1"/>
    <mergeCell ref="C54:D54"/>
    <mergeCell ref="C55:D55"/>
    <mergeCell ref="C56:D56"/>
    <mergeCell ref="A74:F74"/>
    <mergeCell ref="C75:D75"/>
    <mergeCell ref="I55:J55"/>
    <mergeCell ref="I56:J56"/>
    <mergeCell ref="O55:P55"/>
    <mergeCell ref="O56:P56"/>
    <mergeCell ref="C30:D30"/>
    <mergeCell ref="C62:D62"/>
    <mergeCell ref="C63:D63"/>
    <mergeCell ref="C57:D57"/>
    <mergeCell ref="C58:D58"/>
    <mergeCell ref="C59:D59"/>
    <mergeCell ref="C60:D60"/>
    <mergeCell ref="C61:D61"/>
    <mergeCell ref="C64:D64"/>
    <mergeCell ref="C66:D66"/>
    <mergeCell ref="C68:D68"/>
    <mergeCell ref="I67:J67"/>
    <mergeCell ref="O67:P67"/>
    <mergeCell ref="I69:J69"/>
    <mergeCell ref="A7:R7"/>
    <mergeCell ref="A8:R8"/>
    <mergeCell ref="A9:F9"/>
    <mergeCell ref="U67:V67"/>
    <mergeCell ref="O69:P69"/>
    <mergeCell ref="U69:V69"/>
    <mergeCell ref="C71:D71"/>
    <mergeCell ref="A72:E72"/>
    <mergeCell ref="A73:E73"/>
    <mergeCell ref="C11:D11"/>
    <mergeCell ref="C12:D12"/>
    <mergeCell ref="C13:D13"/>
    <mergeCell ref="C14:D14"/>
    <mergeCell ref="C15:D15"/>
    <mergeCell ref="C16:D16"/>
    <mergeCell ref="C17:D17"/>
    <mergeCell ref="C18:D18"/>
    <mergeCell ref="C19:D19"/>
    <mergeCell ref="I54:J54"/>
    <mergeCell ref="C70:D70"/>
    <mergeCell ref="U66:V66"/>
    <mergeCell ref="C67:D67"/>
    <mergeCell ref="U68:V68"/>
    <mergeCell ref="C20:D20"/>
    <mergeCell ref="I57:J57"/>
    <mergeCell ref="I58:J58"/>
    <mergeCell ref="I59:J59"/>
    <mergeCell ref="G74:L74"/>
    <mergeCell ref="O57:P57"/>
    <mergeCell ref="O58:P58"/>
    <mergeCell ref="O59:P59"/>
    <mergeCell ref="M74:R74"/>
    <mergeCell ref="U77:V77"/>
    <mergeCell ref="I62:J62"/>
    <mergeCell ref="I63:J63"/>
    <mergeCell ref="S74:X74"/>
    <mergeCell ref="U75:V75"/>
    <mergeCell ref="U76:V76"/>
    <mergeCell ref="I64:J64"/>
    <mergeCell ref="I65:J65"/>
    <mergeCell ref="I75:J75"/>
    <mergeCell ref="I76:J76"/>
    <mergeCell ref="I77:J77"/>
    <mergeCell ref="I66:J66"/>
    <mergeCell ref="I68:J68"/>
    <mergeCell ref="I78:J78"/>
    <mergeCell ref="I79:J79"/>
    <mergeCell ref="I70:J70"/>
    <mergeCell ref="O82:P82"/>
    <mergeCell ref="I82:J82"/>
    <mergeCell ref="I84:J84"/>
    <mergeCell ref="I85:J85"/>
    <mergeCell ref="I86:J86"/>
    <mergeCell ref="G81:L81"/>
    <mergeCell ref="I87:J87"/>
    <mergeCell ref="I80:J80"/>
    <mergeCell ref="O83:P83"/>
    <mergeCell ref="O84:P84"/>
    <mergeCell ref="O85:P85"/>
    <mergeCell ref="O86:P86"/>
    <mergeCell ref="M81:R81"/>
    <mergeCell ref="O79:P79"/>
    <mergeCell ref="O80:P80"/>
    <mergeCell ref="I83:J83"/>
    <mergeCell ref="S9:X9"/>
    <mergeCell ref="Y9:AD9"/>
    <mergeCell ref="Y74:AD74"/>
    <mergeCell ref="AA75:AB75"/>
    <mergeCell ref="AA76:AB76"/>
    <mergeCell ref="O75:P75"/>
    <mergeCell ref="O76:P76"/>
    <mergeCell ref="O77:P77"/>
    <mergeCell ref="O78:P78"/>
    <mergeCell ref="O54:P54"/>
    <mergeCell ref="U78:V78"/>
    <mergeCell ref="AA67:AB67"/>
    <mergeCell ref="AA69:AB69"/>
    <mergeCell ref="AA66:AB66"/>
    <mergeCell ref="AA68:AB68"/>
    <mergeCell ref="O17:P17"/>
    <mergeCell ref="O18:P18"/>
    <mergeCell ref="O19:P19"/>
    <mergeCell ref="O20:P20"/>
    <mergeCell ref="O21:P21"/>
    <mergeCell ref="O22:P22"/>
    <mergeCell ref="O23:P23"/>
    <mergeCell ref="O24:P24"/>
    <mergeCell ref="O25:P25"/>
    <mergeCell ref="O11:P11"/>
    <mergeCell ref="O12:P12"/>
    <mergeCell ref="O13:P13"/>
    <mergeCell ref="O14:P14"/>
    <mergeCell ref="O15:P15"/>
    <mergeCell ref="O16:P16"/>
    <mergeCell ref="AA77:AB77"/>
    <mergeCell ref="AA78:AB78"/>
    <mergeCell ref="AA79:AB79"/>
    <mergeCell ref="U79:V79"/>
    <mergeCell ref="O26:P26"/>
    <mergeCell ref="O27:P27"/>
    <mergeCell ref="O28:P28"/>
    <mergeCell ref="O29:P29"/>
    <mergeCell ref="O30:P30"/>
    <mergeCell ref="O31:P31"/>
    <mergeCell ref="O32:P32"/>
    <mergeCell ref="AA27:AB27"/>
    <mergeCell ref="AA28:AB28"/>
    <mergeCell ref="AA29:AB29"/>
    <mergeCell ref="O33:P33"/>
    <mergeCell ref="O34:P34"/>
    <mergeCell ref="O35:P35"/>
    <mergeCell ref="O36:P36"/>
    <mergeCell ref="AK9:AP9"/>
    <mergeCell ref="AQ9:AV9"/>
    <mergeCell ref="AM84:AN84"/>
    <mergeCell ref="AS84:AT84"/>
    <mergeCell ref="AG59:AH59"/>
    <mergeCell ref="AG60:AH60"/>
    <mergeCell ref="AG61:AH61"/>
    <mergeCell ref="AG62:AH62"/>
    <mergeCell ref="AG63:AH63"/>
    <mergeCell ref="AG66:AH66"/>
    <mergeCell ref="AG67:AH67"/>
    <mergeCell ref="AG64:AH64"/>
    <mergeCell ref="AG65:AH65"/>
    <mergeCell ref="AS67:AT67"/>
    <mergeCell ref="AM61:AN61"/>
    <mergeCell ref="AM62:AN62"/>
    <mergeCell ref="AG31:AH31"/>
    <mergeCell ref="AG32:AH32"/>
    <mergeCell ref="AG33:AH33"/>
    <mergeCell ref="AG34:AH34"/>
    <mergeCell ref="AG35:AH35"/>
    <mergeCell ref="AG36:AH36"/>
    <mergeCell ref="AG37:AH37"/>
    <mergeCell ref="AG38:AH38"/>
    <mergeCell ref="AW9:BB9"/>
    <mergeCell ref="AG83:AH83"/>
    <mergeCell ref="AG84:AH84"/>
    <mergeCell ref="AG85:AH85"/>
    <mergeCell ref="AM77:AN77"/>
    <mergeCell ref="AS77:AT77"/>
    <mergeCell ref="AM78:AN78"/>
    <mergeCell ref="AS78:AT78"/>
    <mergeCell ref="AW72:BA72"/>
    <mergeCell ref="AW73:BA73"/>
    <mergeCell ref="AM56:AN56"/>
    <mergeCell ref="AM57:AN57"/>
    <mergeCell ref="AM58:AN58"/>
    <mergeCell ref="AM59:AN59"/>
    <mergeCell ref="AM60:AN60"/>
    <mergeCell ref="AS56:AT56"/>
    <mergeCell ref="AS57:AT57"/>
    <mergeCell ref="AS58:AT58"/>
    <mergeCell ref="AS59:AT59"/>
    <mergeCell ref="AE9:AJ9"/>
    <mergeCell ref="AE74:AJ74"/>
    <mergeCell ref="AG75:AH75"/>
    <mergeCell ref="AM85:AN85"/>
    <mergeCell ref="AS85:AT85"/>
    <mergeCell ref="AY85:AZ85"/>
    <mergeCell ref="AM86:AN86"/>
    <mergeCell ref="AS86:AT86"/>
    <mergeCell ref="AM87:AN87"/>
    <mergeCell ref="AS87:AT87"/>
    <mergeCell ref="AY86:AZ86"/>
    <mergeCell ref="AY87:AZ87"/>
    <mergeCell ref="AS60:AT60"/>
    <mergeCell ref="AY57:AZ57"/>
    <mergeCell ref="AY58:AZ58"/>
    <mergeCell ref="AY59:AZ59"/>
    <mergeCell ref="AY60:AZ60"/>
    <mergeCell ref="AK81:AP81"/>
    <mergeCell ref="AQ81:AV81"/>
    <mergeCell ref="AW81:BB81"/>
    <mergeCell ref="AS61:AT61"/>
    <mergeCell ref="AS62:AT62"/>
    <mergeCell ref="AS63:AT63"/>
    <mergeCell ref="AS64:AT64"/>
    <mergeCell ref="AS65:AT65"/>
    <mergeCell ref="AM79:AN79"/>
    <mergeCell ref="AS79:AT79"/>
    <mergeCell ref="AM80:AN80"/>
    <mergeCell ref="AS80:AT80"/>
    <mergeCell ref="AY61:AZ61"/>
    <mergeCell ref="AY62:AZ62"/>
    <mergeCell ref="AY63:AZ63"/>
    <mergeCell ref="AY64:AZ64"/>
    <mergeCell ref="AY65:AZ65"/>
    <mergeCell ref="AY67:AZ67"/>
    <mergeCell ref="AM63:AN63"/>
    <mergeCell ref="AM64:AN64"/>
    <mergeCell ref="AM65:AN65"/>
    <mergeCell ref="AM66:AN66"/>
    <mergeCell ref="AM67:AN67"/>
    <mergeCell ref="AS66:AT66"/>
    <mergeCell ref="AY66:AZ66"/>
    <mergeCell ref="AY84:AZ84"/>
    <mergeCell ref="AM82:AN82"/>
    <mergeCell ref="AS82:AT82"/>
    <mergeCell ref="AM83:AN83"/>
    <mergeCell ref="AS83:AT83"/>
    <mergeCell ref="AY82:AZ82"/>
    <mergeCell ref="AY83:AZ83"/>
    <mergeCell ref="AY69:AZ69"/>
    <mergeCell ref="AY71:AZ71"/>
    <mergeCell ref="AM75:AN75"/>
    <mergeCell ref="AY79:AZ79"/>
    <mergeCell ref="AY80:AZ80"/>
    <mergeCell ref="AS75:AT75"/>
    <mergeCell ref="AM76:AN76"/>
    <mergeCell ref="AS76:AT76"/>
    <mergeCell ref="AY70:AZ70"/>
    <mergeCell ref="A3:B3"/>
    <mergeCell ref="A4:B4"/>
    <mergeCell ref="A5:B5"/>
    <mergeCell ref="A93:B93"/>
    <mergeCell ref="S7:AJ7"/>
    <mergeCell ref="S8:AJ8"/>
    <mergeCell ref="F94:G94"/>
    <mergeCell ref="F93:G93"/>
    <mergeCell ref="F95:G95"/>
    <mergeCell ref="AG86:AH86"/>
    <mergeCell ref="AG87:AH87"/>
    <mergeCell ref="AE81:AJ81"/>
    <mergeCell ref="AG82:AH82"/>
    <mergeCell ref="AG76:AH76"/>
    <mergeCell ref="AG77:AH77"/>
    <mergeCell ref="AG78:AH78"/>
    <mergeCell ref="AG79:AH79"/>
    <mergeCell ref="AG80:AH80"/>
    <mergeCell ref="G9:L9"/>
    <mergeCell ref="M9:R9"/>
    <mergeCell ref="O70:P70"/>
    <mergeCell ref="O66:P66"/>
    <mergeCell ref="O68:P68"/>
    <mergeCell ref="O87:P87"/>
    <mergeCell ref="F104:G104"/>
    <mergeCell ref="C97:G97"/>
    <mergeCell ref="C101:G101"/>
    <mergeCell ref="C105:G105"/>
    <mergeCell ref="A94:B97"/>
    <mergeCell ref="A98:B101"/>
    <mergeCell ref="A102:B105"/>
    <mergeCell ref="A106:G106"/>
    <mergeCell ref="AK7:BB7"/>
    <mergeCell ref="AK8:BB8"/>
    <mergeCell ref="AK74:AP74"/>
    <mergeCell ref="AQ74:AV74"/>
    <mergeCell ref="AW74:BB74"/>
    <mergeCell ref="AY75:AZ75"/>
    <mergeCell ref="AY76:AZ76"/>
    <mergeCell ref="AY77:AZ77"/>
    <mergeCell ref="AY78:AZ78"/>
    <mergeCell ref="F96:G96"/>
    <mergeCell ref="F98:G98"/>
    <mergeCell ref="F99:G99"/>
    <mergeCell ref="F100:G100"/>
    <mergeCell ref="F102:G102"/>
    <mergeCell ref="F103:G103"/>
    <mergeCell ref="AY56:AZ56"/>
  </mergeCells>
  <dataValidations count="7">
    <dataValidation type="list" allowBlank="1" showInputMessage="1" showErrorMessage="1" sqref="H71" xr:uid="{B2F09BF4-41D0-4546-B609-86A737D04CC0}">
      <formula1>$B$124:$C$124</formula1>
    </dataValidation>
    <dataValidation type="list" allowBlank="1" showInputMessage="1" showErrorMessage="1" sqref="AY83:AZ87 C12:D71 I12:J71 O12:P71 U12:V71 AA12:AB71 AG12:AH71 AM12:AN71 AS12:AT71 AY12:AZ71 C76:D80 I76:J80 O76:P80 U76:V80 AA76:AB80 AG76:AH80 AM76:AN80 AS76:AT80 AY76:AZ80 C83:D87 I83:J87 O83:P87 U83:V87 AA83:AB87 AG83:AH87 AM83:AN87 AS83:AT87" xr:uid="{D4A48991-03D9-412F-8860-165363F261E0}">
      <formula1>_xlfn.XLOOKUP(B12,$B$121:$C$121,$B$122:$C$126)</formula1>
    </dataValidation>
    <dataValidation type="list" allowBlank="1" showInputMessage="1" showErrorMessage="1" sqref="H12:H70 N12:N71 T12:T71 Z12:Z71 AF12:AF71 AL12:AL71 AR12:AR71 AX12:AX71 B76:B80 H76:H80 N76:N80 T76:T80 Z76:Z80 AF76:AF80 AL76:AL80 AR76:AR80 AX76:AX80 B83:B87 H83:H87 N83:N87 T83:T87 Z83:Z87 AF83:AF87 AL83:AL87 AR83:AR87 AX83:AX87 B12:B71" xr:uid="{1081CF2C-99AB-4912-9D23-33C8AB26E87F}">
      <formula1>$B$121:$C$121</formula1>
    </dataValidation>
    <dataValidation type="date" allowBlank="1" showInputMessage="1" showErrorMessage="1" sqref="E12:E71 E76:E80 E83:E87 K83:K87 K76:K80 K12:K71 Q12:Q71 Q76:Q80 Q83:Q87 W83:W87 W76:W80 W12:W71 AC12:AC71 AC76:AC80 AC83:AC87 AI83:AI87 AI76:AI80 AI12:AI71 AO12:AO71 AO76:AO80 AO83:AO87 AU83:AU87 AU76:AU80 AU12:AU71 BA12:BA71 BA76:BA80 BA83:BA87" xr:uid="{D0F7F247-1135-437C-9926-3DB2BA2FED39}">
      <formula1>29221</formula1>
      <formula2>146098</formula2>
    </dataValidation>
    <dataValidation type="decimal" allowBlank="1" showInputMessage="1" showErrorMessage="1" sqref="F12:F71 F76:F80 F83:F87 L83:L87 L76:L80 L12:L71 R12:R71 R76:R80 R83:R87 X83:X87 X76:X80 X12:X71 AD12:AD71 AD76:AD80 AD83:AD87 AJ83:AJ87 AJ76:AJ80 AJ12:AJ71 AP12:AP71 AP76:AP80 AP83:AP87 AV83:AV87 AV76:AV80 AV12:AV71 BB83:BB87 BB76:BB80 BB12:BB71" xr:uid="{0E4DFB54-44EA-44B1-9569-4244FAACAE8B}">
      <formula1>0</formula1>
      <formula2>1E+31</formula2>
    </dataValidation>
    <dataValidation type="list" allowBlank="1" showInputMessage="1" showErrorMessage="1" sqref="F5" xr:uid="{6A9BE6C7-4721-4F27-A082-4823B9444973}">
      <formula1>$BJ$5:$BJ$6</formula1>
    </dataValidation>
    <dataValidation type="decimal" allowBlank="1" showInputMessage="1" showErrorMessage="1" sqref="R72 F72 L72 X72 AD72 AJ72 AP72 AV72 BB72" xr:uid="{DE140B7C-FD3A-42C6-8714-71C488B93B52}">
      <formula1>0</formula1>
      <formula2>1E+41</formula2>
    </dataValidation>
  </dataValidations>
  <hyperlinks>
    <hyperlink ref="E1:F1" location="'Respondent Information'!A1" display="Back to Respondent Information" xr:uid="{4E2F72FB-90EB-4D91-9784-7F459D6701CC}"/>
    <hyperlink ref="F91" location="Compliance!A10" display="Back to Top" xr:uid="{3B527FAA-7E04-4F20-BC6E-38102EB3E96C}"/>
    <hyperlink ref="E3:F3" location="Compliance!A93" display="Go to Scoring Table" xr:uid="{A442FD6D-CF4C-4B97-85FD-EEE1A1DC1A8E}"/>
  </hyperlinks>
  <pageMargins left="0.7" right="0.7" top="0.75" bottom="0.75" header="0.3" footer="0.3"/>
  <pageSetup scale="12" fitToHeight="0" orientation="landscape" r:id="rId1"/>
  <headerFooter>
    <oddHeader>&amp;C&amp;"Arial,Bold"&amp;14EXHIBIT A-5-a-V3
SUBMISSION REQUIREMENTS AND EVALUATION RESPONSE TEMPLATE</oddHeader>
    <oddFooter>&amp;C&amp;"Arial,Bold"AHCA ITN 010-22/23, Attachment A, Exhibit A-5-a-V3, 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99994-AA28-4628-BF63-1A14358A7981}">
  <sheetPr codeName="Sheet27">
    <tabColor theme="4" tint="-0.249977111117893"/>
    <pageSetUpPr fitToPage="1"/>
  </sheetPr>
  <dimension ref="A1:M67"/>
  <sheetViews>
    <sheetView zoomScaleNormal="100" workbookViewId="0">
      <selection sqref="A1:C1"/>
    </sheetView>
  </sheetViews>
  <sheetFormatPr defaultRowHeight="15" x14ac:dyDescent="0.25"/>
  <cols>
    <col min="1" max="1" width="29.140625" customWidth="1"/>
    <col min="2" max="2" width="36.5703125" customWidth="1"/>
    <col min="3" max="3" width="65" customWidth="1"/>
    <col min="4" max="4" width="13.7109375" bestFit="1" customWidth="1"/>
    <col min="5" max="5" width="27.5703125" customWidth="1"/>
    <col min="6" max="6" width="38.42578125" bestFit="1" customWidth="1"/>
    <col min="7" max="7" width="31" customWidth="1"/>
    <col min="8" max="8" width="88.28515625" customWidth="1"/>
    <col min="9" max="9" width="20.5703125" bestFit="1" customWidth="1"/>
    <col min="10" max="10" width="23.28515625" bestFit="1" customWidth="1"/>
    <col min="11" max="11" width="18.85546875" bestFit="1" customWidth="1"/>
    <col min="12" max="12" width="29" bestFit="1" customWidth="1"/>
    <col min="13" max="13" width="31.7109375" bestFit="1" customWidth="1"/>
  </cols>
  <sheetData>
    <row r="1" spans="1:13" ht="23.25" x14ac:dyDescent="0.35">
      <c r="A1" s="1449" t="s">
        <v>825</v>
      </c>
      <c r="B1" s="1449"/>
      <c r="C1" s="1449"/>
      <c r="E1" s="643" t="s">
        <v>82</v>
      </c>
      <c r="F1" s="643"/>
    </row>
    <row r="2" spans="1:13" ht="28.5" x14ac:dyDescent="0.45">
      <c r="B2" s="14"/>
    </row>
    <row r="3" spans="1:13" x14ac:dyDescent="0.25">
      <c r="A3" s="1423" t="s">
        <v>84</v>
      </c>
      <c r="B3" s="1423"/>
      <c r="C3" s="692" t="s">
        <v>85</v>
      </c>
      <c r="E3" s="1055"/>
      <c r="F3" s="1055"/>
    </row>
    <row r="4" spans="1:13" x14ac:dyDescent="0.25">
      <c r="A4" s="1424" t="s">
        <v>826</v>
      </c>
      <c r="B4" s="1424"/>
      <c r="C4" s="179">
        <v>50</v>
      </c>
      <c r="E4" s="195"/>
    </row>
    <row r="5" spans="1:13" x14ac:dyDescent="0.25">
      <c r="A5" s="1424" t="s">
        <v>827</v>
      </c>
      <c r="B5" s="1424"/>
      <c r="C5" s="222">
        <f>C39</f>
        <v>0</v>
      </c>
      <c r="D5" s="111"/>
      <c r="E5" s="195"/>
      <c r="F5" s="110"/>
      <c r="G5" s="111"/>
    </row>
    <row r="6" spans="1:13" x14ac:dyDescent="0.25">
      <c r="A6" s="1424" t="s">
        <v>828</v>
      </c>
      <c r="B6" s="1424"/>
      <c r="C6" s="222">
        <f>Compliance!C5+'Compliance-Terminations'!C5</f>
        <v>0</v>
      </c>
      <c r="D6" s="111"/>
      <c r="E6" s="195"/>
      <c r="F6" s="110"/>
      <c r="G6" s="111"/>
    </row>
    <row r="7" spans="1:13" x14ac:dyDescent="0.25">
      <c r="A7" s="1424" t="s">
        <v>89</v>
      </c>
      <c r="B7" s="1424"/>
      <c r="C7" s="420">
        <f>C6/(Compliance!C4+'Compliance-Terminations'!C4)</f>
        <v>0</v>
      </c>
      <c r="D7" s="111"/>
      <c r="E7" s="195"/>
      <c r="F7" s="110"/>
      <c r="G7" s="111"/>
    </row>
    <row r="8" spans="1:13" x14ac:dyDescent="0.25">
      <c r="A8" s="1424" t="s">
        <v>135</v>
      </c>
      <c r="B8" s="1424"/>
      <c r="C8" s="693">
        <v>250</v>
      </c>
      <c r="D8" s="111"/>
      <c r="E8" s="195"/>
      <c r="F8" s="110"/>
      <c r="G8" s="111"/>
    </row>
    <row r="9" spans="1:13" x14ac:dyDescent="0.25">
      <c r="A9" s="1424" t="s">
        <v>829</v>
      </c>
      <c r="B9" s="1424"/>
      <c r="C9" s="426">
        <f>C7*C8</f>
        <v>0</v>
      </c>
      <c r="D9" s="111"/>
      <c r="E9" s="195"/>
      <c r="F9" s="110"/>
      <c r="G9" s="111"/>
    </row>
    <row r="10" spans="1:13" x14ac:dyDescent="0.25">
      <c r="A10" s="41"/>
      <c r="B10" s="113"/>
      <c r="C10" s="111"/>
      <c r="D10" s="111"/>
      <c r="E10" s="111"/>
      <c r="F10" s="110"/>
      <c r="G10" s="111"/>
      <c r="H10" s="110"/>
      <c r="I10" s="110"/>
    </row>
    <row r="11" spans="1:13" ht="30" x14ac:dyDescent="0.25">
      <c r="A11" s="647" t="s">
        <v>830</v>
      </c>
      <c r="B11" s="647" t="s">
        <v>831</v>
      </c>
      <c r="C11" s="647" t="s">
        <v>832</v>
      </c>
      <c r="D11" s="647" t="s">
        <v>833</v>
      </c>
      <c r="E11" s="647" t="s">
        <v>834</v>
      </c>
      <c r="F11" s="647" t="s">
        <v>835</v>
      </c>
      <c r="G11" s="647" t="s">
        <v>836</v>
      </c>
      <c r="H11" s="647" t="s">
        <v>837</v>
      </c>
      <c r="I11" s="647" t="s">
        <v>838</v>
      </c>
      <c r="J11" s="647" t="s">
        <v>839</v>
      </c>
      <c r="K11" s="647" t="s">
        <v>840</v>
      </c>
      <c r="L11" s="647" t="s">
        <v>841</v>
      </c>
      <c r="M11" s="647" t="s">
        <v>842</v>
      </c>
    </row>
    <row r="12" spans="1:13" s="17" customFormat="1" x14ac:dyDescent="0.25">
      <c r="A12" s="486"/>
      <c r="B12" s="486"/>
      <c r="C12" s="486"/>
      <c r="D12" s="556"/>
      <c r="E12" s="486"/>
      <c r="F12" s="486"/>
      <c r="G12" s="486"/>
      <c r="H12" s="486"/>
      <c r="I12" s="486"/>
      <c r="J12" s="486"/>
      <c r="K12" s="486"/>
      <c r="L12" s="486"/>
      <c r="M12" s="486"/>
    </row>
    <row r="13" spans="1:13" s="17" customFormat="1" x14ac:dyDescent="0.25">
      <c r="A13" s="486"/>
      <c r="B13" s="486"/>
      <c r="C13" s="486"/>
      <c r="D13" s="556"/>
      <c r="E13" s="486"/>
      <c r="F13" s="486"/>
      <c r="G13" s="486"/>
      <c r="H13" s="486"/>
      <c r="I13" s="486"/>
      <c r="J13" s="486"/>
      <c r="K13" s="486"/>
      <c r="L13" s="486"/>
      <c r="M13" s="486"/>
    </row>
    <row r="14" spans="1:13" s="17" customFormat="1" x14ac:dyDescent="0.25">
      <c r="A14" s="486"/>
      <c r="B14" s="486"/>
      <c r="C14" s="486"/>
      <c r="D14" s="556"/>
      <c r="E14" s="486"/>
      <c r="F14" s="486"/>
      <c r="G14" s="486"/>
      <c r="H14" s="486"/>
      <c r="I14" s="486"/>
      <c r="J14" s="486"/>
      <c r="K14" s="486"/>
      <c r="L14" s="486"/>
      <c r="M14" s="486"/>
    </row>
    <row r="15" spans="1:13" s="17" customFormat="1" x14ac:dyDescent="0.25">
      <c r="A15" s="486"/>
      <c r="B15" s="486"/>
      <c r="C15" s="486"/>
      <c r="D15" s="556"/>
      <c r="E15" s="486"/>
      <c r="F15" s="486"/>
      <c r="G15" s="486"/>
      <c r="H15" s="486"/>
      <c r="I15" s="486"/>
      <c r="J15" s="486"/>
      <c r="K15" s="486"/>
      <c r="L15" s="486"/>
      <c r="M15" s="486"/>
    </row>
    <row r="16" spans="1:13" s="17" customFormat="1" x14ac:dyDescent="0.25">
      <c r="A16" s="486"/>
      <c r="B16" s="486"/>
      <c r="C16" s="486"/>
      <c r="D16" s="556"/>
      <c r="E16" s="486"/>
      <c r="F16" s="486"/>
      <c r="G16" s="486"/>
      <c r="H16" s="486"/>
      <c r="I16" s="486"/>
      <c r="J16" s="486"/>
      <c r="K16" s="486"/>
      <c r="L16" s="486"/>
      <c r="M16" s="486"/>
    </row>
    <row r="17" spans="1:13" s="17" customFormat="1" x14ac:dyDescent="0.25">
      <c r="A17" s="486"/>
      <c r="B17" s="486"/>
      <c r="C17" s="486"/>
      <c r="D17" s="556"/>
      <c r="E17" s="486"/>
      <c r="F17" s="486"/>
      <c r="G17" s="486"/>
      <c r="H17" s="486"/>
      <c r="I17" s="486"/>
      <c r="J17" s="486"/>
      <c r="K17" s="486"/>
      <c r="L17" s="486"/>
      <c r="M17" s="486"/>
    </row>
    <row r="18" spans="1:13" s="17" customFormat="1" x14ac:dyDescent="0.25">
      <c r="A18" s="486"/>
      <c r="B18" s="486"/>
      <c r="C18" s="486"/>
      <c r="D18" s="556"/>
      <c r="E18" s="486"/>
      <c r="F18" s="486"/>
      <c r="G18" s="486"/>
      <c r="H18" s="486"/>
      <c r="I18" s="486"/>
      <c r="J18" s="486"/>
      <c r="K18" s="486"/>
      <c r="L18" s="486"/>
      <c r="M18" s="486"/>
    </row>
    <row r="19" spans="1:13" s="17" customFormat="1" x14ac:dyDescent="0.25">
      <c r="A19" s="486"/>
      <c r="B19" s="486"/>
      <c r="C19" s="486"/>
      <c r="D19" s="556"/>
      <c r="E19" s="486"/>
      <c r="F19" s="486"/>
      <c r="G19" s="486"/>
      <c r="H19" s="486"/>
      <c r="I19" s="486"/>
      <c r="J19" s="486"/>
      <c r="K19" s="486"/>
      <c r="L19" s="486"/>
      <c r="M19" s="486"/>
    </row>
    <row r="20" spans="1:13" s="17" customFormat="1" x14ac:dyDescent="0.25">
      <c r="A20" s="486"/>
      <c r="B20" s="486"/>
      <c r="C20" s="486"/>
      <c r="D20" s="556"/>
      <c r="E20" s="486"/>
      <c r="F20" s="486"/>
      <c r="G20" s="486"/>
      <c r="H20" s="486"/>
      <c r="I20" s="486"/>
      <c r="J20" s="486"/>
      <c r="K20" s="486"/>
      <c r="L20" s="486"/>
      <c r="M20" s="486"/>
    </row>
    <row r="21" spans="1:13" s="17" customFormat="1" x14ac:dyDescent="0.25">
      <c r="A21" s="486"/>
      <c r="B21" s="486"/>
      <c r="C21" s="486"/>
      <c r="D21" s="556"/>
      <c r="E21" s="486"/>
      <c r="F21" s="486"/>
      <c r="G21" s="486"/>
      <c r="H21" s="486"/>
      <c r="I21" s="486"/>
      <c r="J21" s="486"/>
      <c r="K21" s="486"/>
      <c r="L21" s="486"/>
      <c r="M21" s="486"/>
    </row>
    <row r="22" spans="1:13" s="17" customFormat="1" x14ac:dyDescent="0.25">
      <c r="A22" s="486"/>
      <c r="B22" s="486"/>
      <c r="C22" s="486"/>
      <c r="D22" s="556"/>
      <c r="E22" s="486"/>
      <c r="F22" s="486"/>
      <c r="G22" s="486"/>
      <c r="H22" s="486"/>
      <c r="I22" s="486"/>
      <c r="J22" s="486"/>
      <c r="K22" s="486"/>
      <c r="L22" s="486"/>
      <c r="M22" s="486"/>
    </row>
    <row r="23" spans="1:13" s="17" customFormat="1" x14ac:dyDescent="0.25">
      <c r="A23" s="486"/>
      <c r="B23" s="486"/>
      <c r="C23" s="486"/>
      <c r="D23" s="556"/>
      <c r="E23" s="486"/>
      <c r="F23" s="486"/>
      <c r="G23" s="486"/>
      <c r="H23" s="486"/>
      <c r="I23" s="486"/>
      <c r="J23" s="486"/>
      <c r="K23" s="486"/>
      <c r="L23" s="486"/>
      <c r="M23" s="486"/>
    </row>
    <row r="24" spans="1:13" s="17" customFormat="1" x14ac:dyDescent="0.25">
      <c r="A24" s="486"/>
      <c r="B24" s="486"/>
      <c r="C24" s="486"/>
      <c r="D24" s="556"/>
      <c r="E24" s="486"/>
      <c r="F24" s="486"/>
      <c r="G24" s="486"/>
      <c r="H24" s="486"/>
      <c r="I24" s="486"/>
      <c r="J24" s="486"/>
      <c r="K24" s="486"/>
      <c r="L24" s="486"/>
      <c r="M24" s="486"/>
    </row>
    <row r="25" spans="1:13" s="17" customFormat="1" x14ac:dyDescent="0.25">
      <c r="A25" s="486"/>
      <c r="B25" s="486"/>
      <c r="C25" s="486"/>
      <c r="D25" s="556"/>
      <c r="E25" s="486"/>
      <c r="F25" s="486"/>
      <c r="G25" s="486"/>
      <c r="H25" s="486"/>
      <c r="I25" s="486"/>
      <c r="J25" s="486"/>
      <c r="K25" s="486"/>
      <c r="L25" s="486"/>
      <c r="M25" s="486"/>
    </row>
    <row r="26" spans="1:13" s="17" customFormat="1" x14ac:dyDescent="0.25">
      <c r="A26" s="486"/>
      <c r="B26" s="486"/>
      <c r="C26" s="486"/>
      <c r="D26" s="556"/>
      <c r="E26" s="486"/>
      <c r="F26" s="486"/>
      <c r="G26" s="486"/>
      <c r="H26" s="486"/>
      <c r="I26" s="486"/>
      <c r="J26" s="486"/>
      <c r="K26" s="486"/>
      <c r="L26" s="486"/>
      <c r="M26" s="486"/>
    </row>
    <row r="27" spans="1:13" s="17" customFormat="1" x14ac:dyDescent="0.25">
      <c r="A27" s="486"/>
      <c r="B27" s="486"/>
      <c r="C27" s="486"/>
      <c r="D27" s="556"/>
      <c r="E27" s="486"/>
      <c r="F27" s="486"/>
      <c r="G27" s="486"/>
      <c r="H27" s="486"/>
      <c r="I27" s="486"/>
      <c r="J27" s="486"/>
      <c r="K27" s="486"/>
      <c r="L27" s="486"/>
      <c r="M27" s="486"/>
    </row>
    <row r="28" spans="1:13" s="17" customFormat="1" x14ac:dyDescent="0.25">
      <c r="A28" s="486"/>
      <c r="B28" s="486"/>
      <c r="C28" s="486"/>
      <c r="D28" s="556"/>
      <c r="E28" s="486"/>
      <c r="F28" s="486"/>
      <c r="G28" s="486"/>
      <c r="H28" s="486"/>
      <c r="I28" s="486"/>
      <c r="J28" s="486"/>
      <c r="K28" s="486"/>
      <c r="L28" s="486"/>
      <c r="M28" s="486"/>
    </row>
    <row r="29" spans="1:13" s="17" customFormat="1" x14ac:dyDescent="0.25">
      <c r="A29" s="486"/>
      <c r="B29" s="486"/>
      <c r="C29" s="486"/>
      <c r="D29" s="556"/>
      <c r="E29" s="486"/>
      <c r="F29" s="486"/>
      <c r="G29" s="486"/>
      <c r="H29" s="486"/>
      <c r="I29" s="486"/>
      <c r="J29" s="486"/>
      <c r="K29" s="486"/>
      <c r="L29" s="486"/>
      <c r="M29" s="486"/>
    </row>
    <row r="30" spans="1:13" s="17" customFormat="1" x14ac:dyDescent="0.25">
      <c r="A30" s="486"/>
      <c r="B30" s="486"/>
      <c r="C30" s="486"/>
      <c r="D30" s="556"/>
      <c r="E30" s="486"/>
      <c r="F30" s="486"/>
      <c r="G30" s="486"/>
      <c r="H30" s="486"/>
      <c r="I30" s="486"/>
      <c r="J30" s="486"/>
      <c r="K30" s="486"/>
      <c r="L30" s="486"/>
      <c r="M30" s="486"/>
    </row>
    <row r="31" spans="1:13" s="17" customFormat="1" x14ac:dyDescent="0.25">
      <c r="A31" s="486"/>
      <c r="B31" s="486"/>
      <c r="C31" s="486"/>
      <c r="D31" s="556"/>
      <c r="E31" s="486"/>
      <c r="F31" s="486"/>
      <c r="G31" s="486"/>
      <c r="H31" s="486"/>
      <c r="I31" s="486"/>
      <c r="J31" s="486"/>
      <c r="K31" s="486"/>
      <c r="L31" s="486"/>
      <c r="M31" s="486"/>
    </row>
    <row r="32" spans="1:13" s="17" customFormat="1" x14ac:dyDescent="0.25">
      <c r="A32" s="486"/>
      <c r="B32" s="486"/>
      <c r="C32" s="486"/>
      <c r="D32" s="556"/>
      <c r="E32" s="486"/>
      <c r="F32" s="486"/>
      <c r="G32" s="486"/>
      <c r="H32" s="486"/>
      <c r="I32" s="486"/>
      <c r="J32" s="486"/>
      <c r="K32" s="486"/>
      <c r="L32" s="486"/>
      <c r="M32" s="486"/>
    </row>
    <row r="36" spans="1:5" ht="21" x14ac:dyDescent="0.35">
      <c r="A36" s="1056" t="s">
        <v>117</v>
      </c>
      <c r="B36" s="1056"/>
      <c r="C36" s="1056"/>
    </row>
    <row r="38" spans="1:5" x14ac:dyDescent="0.25">
      <c r="A38" s="149" t="s">
        <v>148</v>
      </c>
      <c r="B38" s="411" t="s">
        <v>149</v>
      </c>
      <c r="C38" s="411" t="s">
        <v>34</v>
      </c>
    </row>
    <row r="39" spans="1:5" x14ac:dyDescent="0.25">
      <c r="A39" s="702" t="s">
        <v>843</v>
      </c>
      <c r="B39" s="702">
        <v>50</v>
      </c>
      <c r="C39" s="702">
        <f>IF(OR(Compliance!F5="No", ISBLANK(Compliance!F5)),0,IF(Compliance!A9=0,0,IF(E66=0,50,0)))</f>
        <v>0</v>
      </c>
    </row>
    <row r="45" spans="1:5" hidden="1" x14ac:dyDescent="0.25">
      <c r="E45">
        <f>IF(ISBLANK(C12), 0, 1)</f>
        <v>0</v>
      </c>
    </row>
    <row r="46" spans="1:5" hidden="1" x14ac:dyDescent="0.25">
      <c r="E46">
        <f t="shared" ref="E46:E65" si="0">IF(ISBLANK(C13), 0, 1)</f>
        <v>0</v>
      </c>
    </row>
    <row r="47" spans="1:5" hidden="1" x14ac:dyDescent="0.25">
      <c r="E47">
        <f t="shared" si="0"/>
        <v>0</v>
      </c>
    </row>
    <row r="48" spans="1:5" hidden="1" x14ac:dyDescent="0.25">
      <c r="E48">
        <f t="shared" si="0"/>
        <v>0</v>
      </c>
    </row>
    <row r="49" spans="1:5" hidden="1" x14ac:dyDescent="0.25">
      <c r="E49">
        <f t="shared" si="0"/>
        <v>0</v>
      </c>
    </row>
    <row r="50" spans="1:5" hidden="1" x14ac:dyDescent="0.25">
      <c r="E50">
        <f t="shared" si="0"/>
        <v>0</v>
      </c>
    </row>
    <row r="51" spans="1:5" hidden="1" x14ac:dyDescent="0.25">
      <c r="A51" t="s">
        <v>844</v>
      </c>
      <c r="E51">
        <f t="shared" si="0"/>
        <v>0</v>
      </c>
    </row>
    <row r="52" spans="1:5" hidden="1" x14ac:dyDescent="0.25">
      <c r="A52" t="s">
        <v>845</v>
      </c>
      <c r="E52">
        <f t="shared" si="0"/>
        <v>0</v>
      </c>
    </row>
    <row r="53" spans="1:5" hidden="1" x14ac:dyDescent="0.25">
      <c r="A53" t="s">
        <v>846</v>
      </c>
      <c r="E53">
        <f t="shared" si="0"/>
        <v>0</v>
      </c>
    </row>
    <row r="54" spans="1:5" hidden="1" x14ac:dyDescent="0.25">
      <c r="A54" t="s">
        <v>847</v>
      </c>
      <c r="E54">
        <f t="shared" si="0"/>
        <v>0</v>
      </c>
    </row>
    <row r="55" spans="1:5" hidden="1" x14ac:dyDescent="0.25">
      <c r="E55">
        <f t="shared" si="0"/>
        <v>0</v>
      </c>
    </row>
    <row r="56" spans="1:5" hidden="1" x14ac:dyDescent="0.25">
      <c r="E56">
        <f t="shared" si="0"/>
        <v>0</v>
      </c>
    </row>
    <row r="57" spans="1:5" hidden="1" x14ac:dyDescent="0.25">
      <c r="E57">
        <f t="shared" si="0"/>
        <v>0</v>
      </c>
    </row>
    <row r="58" spans="1:5" hidden="1" x14ac:dyDescent="0.25">
      <c r="E58">
        <f t="shared" si="0"/>
        <v>0</v>
      </c>
    </row>
    <row r="59" spans="1:5" hidden="1" x14ac:dyDescent="0.25">
      <c r="E59">
        <f t="shared" si="0"/>
        <v>0</v>
      </c>
    </row>
    <row r="60" spans="1:5" hidden="1" x14ac:dyDescent="0.25">
      <c r="E60">
        <f t="shared" si="0"/>
        <v>0</v>
      </c>
    </row>
    <row r="61" spans="1:5" hidden="1" x14ac:dyDescent="0.25">
      <c r="E61">
        <f t="shared" si="0"/>
        <v>0</v>
      </c>
    </row>
    <row r="62" spans="1:5" hidden="1" x14ac:dyDescent="0.25">
      <c r="E62">
        <f t="shared" si="0"/>
        <v>0</v>
      </c>
    </row>
    <row r="63" spans="1:5" hidden="1" x14ac:dyDescent="0.25">
      <c r="E63">
        <f t="shared" si="0"/>
        <v>0</v>
      </c>
    </row>
    <row r="64" spans="1:5" hidden="1" x14ac:dyDescent="0.25">
      <c r="E64">
        <f t="shared" si="0"/>
        <v>0</v>
      </c>
    </row>
    <row r="65" spans="5:5" hidden="1" x14ac:dyDescent="0.25">
      <c r="E65">
        <f t="shared" si="0"/>
        <v>0</v>
      </c>
    </row>
    <row r="66" spans="5:5" hidden="1" x14ac:dyDescent="0.25">
      <c r="E66">
        <f>SUM(E45:E65)</f>
        <v>0</v>
      </c>
    </row>
    <row r="67" spans="5:5" hidden="1" x14ac:dyDescent="0.25"/>
  </sheetData>
  <sheetProtection algorithmName="SHA-512" hashValue="FIBRI0R1w3z9FTSKT5/9ySh7K5Ex0VA6qM5zIk69ZQxLMPDm1wgDTawoNPXOTs0ocJ/IpjEQxyl4Eq97FSKt6Q==" saltValue="ET8cYuYA80LcRsZBhjLs5w==" spinCount="100000" sheet="1" objects="1" scenarios="1"/>
  <mergeCells count="10">
    <mergeCell ref="A36:C36"/>
    <mergeCell ref="A1:C1"/>
    <mergeCell ref="A3:B3"/>
    <mergeCell ref="E3:F3"/>
    <mergeCell ref="A4:B4"/>
    <mergeCell ref="A5:B5"/>
    <mergeCell ref="A6:B6"/>
    <mergeCell ref="A7:B7"/>
    <mergeCell ref="A8:B8"/>
    <mergeCell ref="A9:B9"/>
  </mergeCells>
  <phoneticPr fontId="39" type="noConversion"/>
  <dataValidations count="1">
    <dataValidation type="list" allowBlank="1" showInputMessage="1" showErrorMessage="1" sqref="C12:C32" xr:uid="{72A4010D-B10F-4238-8EFD-3D0281DBA3B6}">
      <formula1>$A$51:$A$54</formula1>
    </dataValidation>
  </dataValidations>
  <hyperlinks>
    <hyperlink ref="E1:F1" location="'Vendor Information'!A1" display="Back to Vendor Information" xr:uid="{3293C927-9369-4D5F-84B0-5BC4AAFED6C0}"/>
    <hyperlink ref="E1" location="'Respondent Information'!A1" display="Back to Respondent Information" xr:uid="{6357821A-9D5F-405D-B7B2-016D4AD98DA1}"/>
  </hyperlinks>
  <pageMargins left="0.7" right="0.7" top="0.75" bottom="0.75" header="0.3" footer="0.3"/>
  <pageSetup scale="27" fitToHeight="0" orientation="landscape" r:id="rId1"/>
  <headerFooter>
    <oddHeader>&amp;C&amp;"Arial,Bold"&amp;14EXHIBIT A-5-a-V3
SUBMISSION REQUIREMENTS AND EVALUATION RESPONSE TEMPLATE</oddHeader>
    <oddFooter>&amp;C&amp;"Arial,Bold"AHCA ITN 010-22/23, Attachment A, Exhibit A-5-a-V3, 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2F0FB-4457-462F-905B-657CEFC0BEA4}">
  <sheetPr codeName="Sheet28">
    <tabColor theme="7" tint="0.39997558519241921"/>
  </sheetPr>
  <dimension ref="A1:I3"/>
  <sheetViews>
    <sheetView zoomScaleNormal="100" workbookViewId="0"/>
  </sheetViews>
  <sheetFormatPr defaultRowHeight="15" x14ac:dyDescent="0.25"/>
  <cols>
    <col min="11" max="11" width="9.28515625" customWidth="1"/>
  </cols>
  <sheetData>
    <row r="1" spans="1:9" ht="23.25" x14ac:dyDescent="0.35">
      <c r="A1" s="691" t="s">
        <v>848</v>
      </c>
      <c r="B1" s="691"/>
      <c r="C1" s="691"/>
      <c r="D1" s="691"/>
      <c r="E1" s="691"/>
      <c r="F1" s="691"/>
      <c r="G1" s="691"/>
      <c r="H1" s="691"/>
      <c r="I1" s="691"/>
    </row>
    <row r="2" spans="1:9" ht="15" customHeight="1" x14ac:dyDescent="0.35">
      <c r="A2" s="691"/>
      <c r="B2" s="691"/>
      <c r="C2" s="691"/>
      <c r="D2" s="691"/>
      <c r="E2" s="691"/>
      <c r="F2" s="691"/>
      <c r="G2" s="691"/>
      <c r="H2" s="691"/>
      <c r="I2" s="691"/>
    </row>
    <row r="3" spans="1:9" x14ac:dyDescent="0.25">
      <c r="A3" s="1083" t="s">
        <v>82</v>
      </c>
      <c r="B3" s="1083"/>
      <c r="C3" s="1083"/>
      <c r="D3" s="1083"/>
    </row>
  </sheetData>
  <sheetProtection algorithmName="SHA-512" hashValue="1fewthNgFn1st+QzlSM9wmiYcJ7MeUrAOMmqxvQgu95XNW92tR743c3RXuCSbQ3xWNUKa4Sf2qaQer7KKWnuEw==" saltValue="26GIOlED32yjvDww8UzlSg==" spinCount="100000" sheet="1" objects="1" scenarios="1"/>
  <mergeCells count="1">
    <mergeCell ref="A3:D3"/>
  </mergeCells>
  <hyperlinks>
    <hyperlink ref="A3" location="'Respondent Information'!A1" display="Back to Respondent Information" xr:uid="{3D7B5FEC-3DB5-42FC-A584-6803635AB0F8}"/>
  </hyperlinks>
  <pageMargins left="0.7" right="0.7" top="0.75" bottom="0.75" header="0.3" footer="0.3"/>
  <pageSetup orientation="portrait" r:id="rId1"/>
  <headerFooter>
    <oddHeader>&amp;C&amp;"Arial,Bold"&amp;14EXHIBIT A-5-a-V3
SUBMISSION REQUIREMENTS AND EVALUATION RESPONSE TEMPLATE</oddHeader>
    <oddFooter>&amp;C&amp;"Arial,Bold"AHCA ITN 010-22/23, Attachment A, Exhibit A-5-a-V3, Page &amp;P of &amp;N</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84519-C1C5-4541-A939-6893E7B0F925}">
  <sheetPr codeName="Sheet29">
    <tabColor theme="7" tint="0.39997558519241921"/>
    <pageSetUpPr fitToPage="1"/>
  </sheetPr>
  <dimension ref="A1:N33"/>
  <sheetViews>
    <sheetView zoomScaleNormal="100" workbookViewId="0"/>
  </sheetViews>
  <sheetFormatPr defaultRowHeight="15" x14ac:dyDescent="0.25"/>
  <cols>
    <col min="1" max="1" width="36.85546875" bestFit="1" customWidth="1"/>
    <col min="2" max="2" width="20.42578125" bestFit="1" customWidth="1"/>
    <col min="3" max="3" width="25.85546875" bestFit="1" customWidth="1"/>
    <col min="4" max="4" width="30.7109375" customWidth="1"/>
    <col min="5" max="5" width="9.140625" hidden="1" customWidth="1"/>
    <col min="6" max="6" width="30.140625" bestFit="1" customWidth="1"/>
    <col min="11" max="11" width="9.140625" customWidth="1"/>
    <col min="12" max="13" width="9.140625" hidden="1" customWidth="1"/>
  </cols>
  <sheetData>
    <row r="1" spans="1:14" ht="23.25" x14ac:dyDescent="0.35">
      <c r="A1" s="691" t="s">
        <v>849</v>
      </c>
      <c r="C1" s="643" t="s">
        <v>82</v>
      </c>
    </row>
    <row r="3" spans="1:14" x14ac:dyDescent="0.25">
      <c r="A3" s="692" t="s">
        <v>84</v>
      </c>
      <c r="B3" s="692" t="s">
        <v>85</v>
      </c>
    </row>
    <row r="4" spans="1:14" x14ac:dyDescent="0.25">
      <c r="A4" s="693" t="s">
        <v>87</v>
      </c>
      <c r="B4" s="179">
        <v>100</v>
      </c>
    </row>
    <row r="5" spans="1:14" x14ac:dyDescent="0.25">
      <c r="A5" s="693" t="s">
        <v>88</v>
      </c>
      <c r="B5" s="179">
        <f>C33</f>
        <v>0</v>
      </c>
    </row>
    <row r="6" spans="1:14" x14ac:dyDescent="0.25">
      <c r="A6" s="413" t="s">
        <v>89</v>
      </c>
      <c r="B6" s="420">
        <f>B5/B4</f>
        <v>0</v>
      </c>
    </row>
    <row r="7" spans="1:14" x14ac:dyDescent="0.25">
      <c r="A7" s="413" t="s">
        <v>135</v>
      </c>
      <c r="B7" s="414">
        <v>100</v>
      </c>
    </row>
    <row r="8" spans="1:14" x14ac:dyDescent="0.25">
      <c r="A8" s="413" t="s">
        <v>850</v>
      </c>
      <c r="B8" s="421">
        <f>B6*B7</f>
        <v>0</v>
      </c>
    </row>
    <row r="10" spans="1:14" x14ac:dyDescent="0.25">
      <c r="A10" s="647" t="s">
        <v>851</v>
      </c>
      <c r="B10" s="647" t="s">
        <v>852</v>
      </c>
      <c r="L10" t="s">
        <v>26</v>
      </c>
      <c r="M10" t="s">
        <v>28</v>
      </c>
    </row>
    <row r="11" spans="1:14" x14ac:dyDescent="0.25">
      <c r="A11" s="108" t="s">
        <v>853</v>
      </c>
      <c r="B11" s="685"/>
      <c r="M11" s="335"/>
      <c r="N11" s="336"/>
    </row>
    <row r="12" spans="1:14" x14ac:dyDescent="0.25">
      <c r="A12" s="108" t="s">
        <v>854</v>
      </c>
      <c r="B12" s="685"/>
      <c r="M12" s="335"/>
      <c r="N12" s="336"/>
    </row>
    <row r="13" spans="1:14" x14ac:dyDescent="0.25">
      <c r="A13" s="108" t="s">
        <v>855</v>
      </c>
      <c r="B13" s="685"/>
      <c r="M13" s="335"/>
      <c r="N13" s="336"/>
    </row>
    <row r="14" spans="1:14" x14ac:dyDescent="0.25">
      <c r="A14" s="108" t="s">
        <v>856</v>
      </c>
      <c r="B14" s="685"/>
      <c r="M14" s="335"/>
      <c r="N14" s="336"/>
    </row>
    <row r="15" spans="1:14" x14ac:dyDescent="0.25">
      <c r="A15" s="108" t="s">
        <v>857</v>
      </c>
      <c r="B15" s="685"/>
      <c r="M15" s="335"/>
      <c r="N15" s="336"/>
    </row>
    <row r="16" spans="1:14" x14ac:dyDescent="0.25">
      <c r="A16" s="108" t="s">
        <v>858</v>
      </c>
      <c r="B16" s="685"/>
      <c r="M16" s="335"/>
      <c r="N16" s="336"/>
    </row>
    <row r="17" spans="1:14" x14ac:dyDescent="0.25">
      <c r="A17" s="108" t="s">
        <v>859</v>
      </c>
      <c r="B17" s="685"/>
      <c r="M17" s="335"/>
      <c r="N17" s="336"/>
    </row>
    <row r="18" spans="1:14" x14ac:dyDescent="0.25">
      <c r="A18" s="108" t="s">
        <v>860</v>
      </c>
      <c r="B18" s="685"/>
      <c r="M18" s="335"/>
      <c r="N18" s="336"/>
    </row>
    <row r="19" spans="1:14" x14ac:dyDescent="0.25">
      <c r="A19" s="108" t="s">
        <v>109</v>
      </c>
      <c r="B19" s="685"/>
      <c r="M19" s="335"/>
      <c r="N19" s="336"/>
    </row>
    <row r="20" spans="1:14" ht="8.25" customHeight="1" x14ac:dyDescent="0.25">
      <c r="N20" s="337"/>
    </row>
    <row r="21" spans="1:14" ht="21" x14ac:dyDescent="0.35">
      <c r="A21" s="1056" t="s">
        <v>117</v>
      </c>
      <c r="B21" s="1056"/>
    </row>
    <row r="22" spans="1:14" ht="8.25" customHeight="1" thickBot="1" x14ac:dyDescent="0.3"/>
    <row r="23" spans="1:14" x14ac:dyDescent="0.25">
      <c r="A23" s="203" t="s">
        <v>218</v>
      </c>
      <c r="B23" s="661" t="s">
        <v>35</v>
      </c>
      <c r="C23" s="661" t="s">
        <v>34</v>
      </c>
    </row>
    <row r="24" spans="1:14" x14ac:dyDescent="0.25">
      <c r="A24" s="109" t="s">
        <v>853</v>
      </c>
      <c r="B24" s="702">
        <v>10</v>
      </c>
      <c r="C24" s="702">
        <f>IF(B11="Yes", B24, 0)</f>
        <v>0</v>
      </c>
    </row>
    <row r="25" spans="1:14" x14ac:dyDescent="0.25">
      <c r="A25" s="109" t="s">
        <v>854</v>
      </c>
      <c r="B25" s="702">
        <v>15</v>
      </c>
      <c r="C25" s="702">
        <f t="shared" ref="C25:C32" si="0">IF(B12="Yes", B25, 0)</f>
        <v>0</v>
      </c>
    </row>
    <row r="26" spans="1:14" x14ac:dyDescent="0.25">
      <c r="A26" s="109" t="s">
        <v>855</v>
      </c>
      <c r="B26" s="702">
        <v>15</v>
      </c>
      <c r="C26" s="702">
        <f t="shared" si="0"/>
        <v>0</v>
      </c>
    </row>
    <row r="27" spans="1:14" x14ac:dyDescent="0.25">
      <c r="A27" s="109" t="s">
        <v>856</v>
      </c>
      <c r="B27" s="702">
        <v>15</v>
      </c>
      <c r="C27" s="702">
        <f t="shared" si="0"/>
        <v>0</v>
      </c>
    </row>
    <row r="28" spans="1:14" x14ac:dyDescent="0.25">
      <c r="A28" s="109" t="s">
        <v>857</v>
      </c>
      <c r="B28" s="702">
        <v>5</v>
      </c>
      <c r="C28" s="702">
        <f t="shared" si="0"/>
        <v>0</v>
      </c>
    </row>
    <row r="29" spans="1:14" x14ac:dyDescent="0.25">
      <c r="A29" s="109" t="s">
        <v>858</v>
      </c>
      <c r="B29" s="702">
        <v>5</v>
      </c>
      <c r="C29" s="702">
        <f t="shared" si="0"/>
        <v>0</v>
      </c>
    </row>
    <row r="30" spans="1:14" x14ac:dyDescent="0.25">
      <c r="A30" s="109" t="s">
        <v>859</v>
      </c>
      <c r="B30" s="702">
        <v>15</v>
      </c>
      <c r="C30" s="702">
        <f t="shared" si="0"/>
        <v>0</v>
      </c>
    </row>
    <row r="31" spans="1:14" x14ac:dyDescent="0.25">
      <c r="A31" s="109" t="s">
        <v>860</v>
      </c>
      <c r="B31" s="702">
        <v>5</v>
      </c>
      <c r="C31" s="702">
        <f t="shared" si="0"/>
        <v>0</v>
      </c>
    </row>
    <row r="32" spans="1:14" x14ac:dyDescent="0.25">
      <c r="A32" s="109" t="s">
        <v>109</v>
      </c>
      <c r="B32" s="702">
        <v>15</v>
      </c>
      <c r="C32" s="702">
        <f t="shared" si="0"/>
        <v>0</v>
      </c>
    </row>
    <row r="33" spans="1:3" ht="15.75" thickBot="1" x14ac:dyDescent="0.3">
      <c r="A33" s="1462" t="s">
        <v>317</v>
      </c>
      <c r="B33" s="1463"/>
      <c r="C33" s="27">
        <f>SUM(C24:C32)</f>
        <v>0</v>
      </c>
    </row>
  </sheetData>
  <sheetProtection algorithmName="SHA-512" hashValue="TdueK3E+JCFu6cmv1UlaDhXVXwOmShZnEv+ZdAhtGSuvO7RXyilsOukV7eGsO0jSqJhHi3CXVa88FB3eNg59xQ==" saltValue="h10apIPVfFlPWy/sIuH2Uw==" spinCount="100000" sheet="1" objects="1" scenarios="1"/>
  <mergeCells count="2">
    <mergeCell ref="A21:B21"/>
    <mergeCell ref="A33:B33"/>
  </mergeCells>
  <dataValidations count="1">
    <dataValidation type="list" allowBlank="1" showInputMessage="1" showErrorMessage="1" sqref="B11:B19" xr:uid="{3578A444-DE74-4303-AD99-5B4493CC8361}">
      <formula1>$L$10:$M$10</formula1>
    </dataValidation>
  </dataValidations>
  <hyperlinks>
    <hyperlink ref="C1" location="'Respondent Information'!A1" display="Back to Respondent Information" xr:uid="{538486B8-A59A-4813-BD7E-5712E5523480}"/>
  </hyperlinks>
  <pageMargins left="0.7" right="0.7" top="0.75" bottom="0.75" header="0.3" footer="0.3"/>
  <pageSetup scale="79" orientation="portrait" r:id="rId1"/>
  <headerFooter>
    <oddHeader>&amp;C&amp;"Arial,Bold"&amp;14EXHIBIT A-5-a-V3
SUBMISSION REQUIREMENTS AND EVALUATION RESPONSE TEMPLATE</oddHeader>
    <oddFooter>&amp;C&amp;"Arial,Bold"AHCA ITN 010-22/23, Attachment A, Exhibit A-5-a-V3, Page &amp;P of &amp;N</oddFooter>
  </headerFooter>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377F8-6633-484C-ABB8-00A4A28F7E3B}">
  <sheetPr codeName="Sheet17">
    <tabColor theme="5" tint="0.39997558519241921"/>
  </sheetPr>
  <dimension ref="A1:J41"/>
  <sheetViews>
    <sheetView zoomScaleNormal="100" workbookViewId="0"/>
  </sheetViews>
  <sheetFormatPr defaultRowHeight="15" x14ac:dyDescent="0.25"/>
  <cols>
    <col min="1" max="1" width="12.28515625" customWidth="1"/>
  </cols>
  <sheetData>
    <row r="1" spans="1:10" ht="28.5" x14ac:dyDescent="0.45">
      <c r="A1" s="691" t="s">
        <v>861</v>
      </c>
      <c r="B1" s="19"/>
      <c r="C1" s="19"/>
      <c r="D1" s="19"/>
      <c r="E1" s="19"/>
      <c r="F1" s="19"/>
      <c r="G1" s="19"/>
      <c r="H1" s="19"/>
      <c r="I1" s="19"/>
      <c r="J1" s="19"/>
    </row>
    <row r="2" spans="1:10" ht="15" customHeight="1" x14ac:dyDescent="0.45">
      <c r="A2" s="19"/>
      <c r="B2" s="19"/>
      <c r="C2" s="19"/>
      <c r="D2" s="19"/>
      <c r="E2" s="19"/>
      <c r="F2" s="19"/>
      <c r="G2" s="19"/>
      <c r="H2" s="19"/>
      <c r="I2" s="19"/>
      <c r="J2" s="19"/>
    </row>
    <row r="3" spans="1:10" x14ac:dyDescent="0.25">
      <c r="A3" s="1083" t="s">
        <v>82</v>
      </c>
      <c r="B3" s="1083"/>
      <c r="C3" s="1083"/>
    </row>
    <row r="4" spans="1:10" ht="17.25" x14ac:dyDescent="0.25">
      <c r="A4" s="93"/>
    </row>
    <row r="5" spans="1:10" ht="17.25" x14ac:dyDescent="0.25">
      <c r="A5" s="94"/>
    </row>
    <row r="6" spans="1:10" x14ac:dyDescent="0.25">
      <c r="A6" s="95"/>
    </row>
    <row r="7" spans="1:10" x14ac:dyDescent="0.25">
      <c r="A7" s="95"/>
    </row>
    <row r="8" spans="1:10" x14ac:dyDescent="0.25">
      <c r="A8" s="96"/>
    </row>
    <row r="9" spans="1:10" x14ac:dyDescent="0.25">
      <c r="A9" s="97"/>
    </row>
    <row r="10" spans="1:10" x14ac:dyDescent="0.25">
      <c r="A10" s="98"/>
    </row>
    <row r="11" spans="1:10" x14ac:dyDescent="0.25">
      <c r="A11" s="99"/>
    </row>
    <row r="12" spans="1:10" x14ac:dyDescent="0.25">
      <c r="A12" s="100"/>
    </row>
    <row r="13" spans="1:10" x14ac:dyDescent="0.25">
      <c r="A13" s="101"/>
    </row>
    <row r="14" spans="1:10" x14ac:dyDescent="0.25">
      <c r="A14" s="102"/>
    </row>
    <row r="15" spans="1:10" x14ac:dyDescent="0.25">
      <c r="A15" s="103"/>
    </row>
    <row r="16" spans="1:10" x14ac:dyDescent="0.25">
      <c r="A16" s="102"/>
    </row>
    <row r="17" spans="1:1" x14ac:dyDescent="0.25">
      <c r="A17" s="101"/>
    </row>
    <row r="18" spans="1:1" x14ac:dyDescent="0.25">
      <c r="A18" s="102"/>
    </row>
    <row r="19" spans="1:1" x14ac:dyDescent="0.25">
      <c r="A19" s="102"/>
    </row>
    <row r="20" spans="1:1" x14ac:dyDescent="0.25">
      <c r="A20" s="104"/>
    </row>
    <row r="21" spans="1:1" x14ac:dyDescent="0.25">
      <c r="A21" s="104"/>
    </row>
    <row r="22" spans="1:1" x14ac:dyDescent="0.25">
      <c r="A22" s="105"/>
    </row>
    <row r="23" spans="1:1" x14ac:dyDescent="0.25">
      <c r="A23" s="106"/>
    </row>
    <row r="24" spans="1:1" x14ac:dyDescent="0.25">
      <c r="A24" s="106"/>
    </row>
    <row r="25" spans="1:1" x14ac:dyDescent="0.25">
      <c r="A25" s="106"/>
    </row>
    <row r="26" spans="1:1" x14ac:dyDescent="0.25">
      <c r="A26" s="105"/>
    </row>
    <row r="27" spans="1:1" x14ac:dyDescent="0.25">
      <c r="A27" s="106"/>
    </row>
    <row r="28" spans="1:1" x14ac:dyDescent="0.25">
      <c r="A28" s="106"/>
    </row>
    <row r="29" spans="1:1" x14ac:dyDescent="0.25">
      <c r="A29" s="106"/>
    </row>
    <row r="30" spans="1:1" x14ac:dyDescent="0.25">
      <c r="A30" s="101"/>
    </row>
    <row r="31" spans="1:1" x14ac:dyDescent="0.25">
      <c r="A31" s="107"/>
    </row>
    <row r="32" spans="1:1" x14ac:dyDescent="0.25">
      <c r="A32" s="101"/>
    </row>
    <row r="33" spans="1:1" x14ac:dyDescent="0.25">
      <c r="A33" s="102"/>
    </row>
    <row r="34" spans="1:1" x14ac:dyDescent="0.25">
      <c r="A34" s="101"/>
    </row>
    <row r="35" spans="1:1" x14ac:dyDescent="0.25">
      <c r="A35" s="102"/>
    </row>
    <row r="36" spans="1:1" x14ac:dyDescent="0.25">
      <c r="A36" s="102"/>
    </row>
    <row r="37" spans="1:1" x14ac:dyDescent="0.25">
      <c r="A37" s="102"/>
    </row>
    <row r="38" spans="1:1" x14ac:dyDescent="0.25">
      <c r="A38" s="101"/>
    </row>
    <row r="39" spans="1:1" x14ac:dyDescent="0.25">
      <c r="A39" s="102"/>
    </row>
    <row r="40" spans="1:1" x14ac:dyDescent="0.25">
      <c r="A40" s="97"/>
    </row>
    <row r="41" spans="1:1" x14ac:dyDescent="0.25">
      <c r="A41" s="83"/>
    </row>
  </sheetData>
  <sheetProtection algorithmName="SHA-512" hashValue="Wo55FfEG1jfe7KdfWw61Z71WQqvx3zMI3irLy/frayprEHBgrYRMmw+3MQxjPpwYuklLH2NBIeH1cA6Ehb6u/Q==" saltValue="tdXdOHM3zuxq5tQAkvnW8A==" spinCount="100000" sheet="1" objects="1" scenarios="1"/>
  <mergeCells count="1">
    <mergeCell ref="A3:C3"/>
  </mergeCells>
  <hyperlinks>
    <hyperlink ref="A3" location="'Respondent Information'!A1" display="Back to Respondent Information" xr:uid="{8DF734CB-1233-4359-8E01-AAF284A0DC01}"/>
  </hyperlinks>
  <pageMargins left="0.7" right="0.7" top="0.75" bottom="0.75" header="0.3" footer="0.3"/>
  <pageSetup orientation="portrait" r:id="rId1"/>
  <headerFooter>
    <oddHeader>&amp;C&amp;"Arial,Bold"&amp;14EXHIBIT A-5-a-V3
SUBMISSION REQUIREMENTS AND EVALUATION RESPONSE TEMPLATE</oddHeader>
    <oddFooter>&amp;C&amp;"Arial,Bold"AHCA ITN 010-22/23, Attachment A, Exhibit A-5-a-V3, Page &amp;P of &amp;N</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8F720-DE50-4F69-AEEA-3DC502C08934}">
  <sheetPr codeName="Sheet9">
    <tabColor theme="5" tint="0.39997558519241921"/>
    <pageSetUpPr fitToPage="1"/>
  </sheetPr>
  <dimension ref="A1:W30"/>
  <sheetViews>
    <sheetView workbookViewId="0"/>
  </sheetViews>
  <sheetFormatPr defaultRowHeight="15" x14ac:dyDescent="0.25"/>
  <cols>
    <col min="1" max="1" width="63.85546875" bestFit="1" customWidth="1"/>
    <col min="2" max="2" width="35" customWidth="1"/>
    <col min="3" max="3" width="37.140625" customWidth="1"/>
    <col min="4" max="4" width="24.28515625" bestFit="1" customWidth="1"/>
    <col min="5" max="5" width="19.140625" bestFit="1" customWidth="1"/>
    <col min="6" max="6" width="29.42578125" customWidth="1"/>
    <col min="7" max="7" width="15.28515625" hidden="1" customWidth="1"/>
    <col min="8" max="9" width="9.140625" hidden="1" customWidth="1"/>
    <col min="10" max="10" width="29.85546875" hidden="1" customWidth="1"/>
    <col min="11" max="23" width="9.140625" hidden="1" customWidth="1"/>
  </cols>
  <sheetData>
    <row r="1" spans="1:23" ht="28.5" x14ac:dyDescent="0.45">
      <c r="A1" s="691" t="s">
        <v>862</v>
      </c>
      <c r="C1" s="643" t="s">
        <v>82</v>
      </c>
      <c r="J1" s="1355"/>
      <c r="K1" s="1355"/>
      <c r="L1" s="1355"/>
      <c r="M1" s="1355"/>
      <c r="N1" s="1355"/>
      <c r="O1" s="1355"/>
    </row>
    <row r="2" spans="1:23" ht="28.5" x14ac:dyDescent="0.45">
      <c r="A2" s="14"/>
      <c r="J2" s="688"/>
      <c r="K2" s="688"/>
      <c r="L2" s="688"/>
      <c r="M2" s="688"/>
      <c r="N2" s="688"/>
      <c r="O2" s="688"/>
    </row>
    <row r="3" spans="1:23" x14ac:dyDescent="0.25">
      <c r="A3" s="692" t="s">
        <v>84</v>
      </c>
      <c r="B3" s="692" t="s">
        <v>85</v>
      </c>
      <c r="J3" s="1467"/>
      <c r="K3" s="1467"/>
      <c r="L3" s="1467"/>
      <c r="M3" s="1467"/>
      <c r="N3" s="1467"/>
      <c r="O3" s="1467"/>
    </row>
    <row r="4" spans="1:23" x14ac:dyDescent="0.25">
      <c r="A4" s="693" t="s">
        <v>87</v>
      </c>
      <c r="B4" s="179">
        <v>11</v>
      </c>
      <c r="J4" s="45"/>
      <c r="K4" s="46"/>
      <c r="L4" s="46"/>
      <c r="M4" s="46"/>
      <c r="N4" s="46"/>
      <c r="O4" s="46"/>
    </row>
    <row r="5" spans="1:23" x14ac:dyDescent="0.25">
      <c r="A5" s="693" t="s">
        <v>88</v>
      </c>
      <c r="B5" s="179">
        <f>C27+C29</f>
        <v>0</v>
      </c>
      <c r="J5" s="1467"/>
      <c r="K5" s="1467"/>
      <c r="L5" s="1467"/>
      <c r="M5" s="1467"/>
      <c r="N5" s="1467"/>
      <c r="O5" s="1467"/>
    </row>
    <row r="6" spans="1:23" x14ac:dyDescent="0.25">
      <c r="A6" s="413" t="s">
        <v>89</v>
      </c>
      <c r="B6" s="420">
        <f>B5/B4</f>
        <v>0</v>
      </c>
      <c r="J6" s="695"/>
      <c r="K6" s="695"/>
      <c r="L6" s="695"/>
      <c r="M6" s="695"/>
      <c r="N6" s="695"/>
      <c r="O6" s="695"/>
    </row>
    <row r="7" spans="1:23" x14ac:dyDescent="0.25">
      <c r="A7" s="413" t="s">
        <v>135</v>
      </c>
      <c r="B7" s="414">
        <v>100</v>
      </c>
      <c r="J7" s="695"/>
      <c r="K7" s="695"/>
      <c r="L7" s="695"/>
      <c r="M7" s="695"/>
      <c r="N7" s="695"/>
      <c r="O7" s="695"/>
    </row>
    <row r="8" spans="1:23" x14ac:dyDescent="0.25">
      <c r="A8" s="413" t="s">
        <v>863</v>
      </c>
      <c r="B8" s="421">
        <f>B6*B7</f>
        <v>0</v>
      </c>
      <c r="J8" s="695"/>
      <c r="K8" s="695"/>
      <c r="L8" s="695"/>
      <c r="M8" s="695"/>
      <c r="N8" s="695"/>
      <c r="O8" s="695"/>
    </row>
    <row r="9" spans="1:23" ht="15.75" thickBot="1" x14ac:dyDescent="0.3">
      <c r="J9" s="47"/>
      <c r="K9" s="46"/>
      <c r="L9" s="46"/>
      <c r="M9" s="46"/>
      <c r="N9" s="46"/>
      <c r="O9" s="46"/>
    </row>
    <row r="10" spans="1:23" ht="16.5" thickBot="1" x14ac:dyDescent="0.3">
      <c r="A10" s="1465" t="s">
        <v>864</v>
      </c>
      <c r="B10" s="1465"/>
      <c r="C10" s="1465"/>
      <c r="D10" s="1465"/>
      <c r="E10" s="1465"/>
      <c r="F10" s="1466"/>
      <c r="J10" s="1467"/>
      <c r="K10" s="1467"/>
      <c r="L10" s="1467"/>
      <c r="M10" s="1467"/>
      <c r="N10" s="1467"/>
      <c r="O10" s="1467"/>
    </row>
    <row r="11" spans="1:23" ht="30.75" customHeight="1" x14ac:dyDescent="0.25">
      <c r="A11" s="230" t="s">
        <v>865</v>
      </c>
      <c r="B11" s="180" t="s">
        <v>866</v>
      </c>
      <c r="C11" s="180" t="s">
        <v>867</v>
      </c>
      <c r="D11" s="180" t="s">
        <v>868</v>
      </c>
      <c r="E11" s="180" t="s">
        <v>869</v>
      </c>
      <c r="F11" s="231" t="s">
        <v>870</v>
      </c>
      <c r="J11" t="s">
        <v>871</v>
      </c>
      <c r="K11" s="46"/>
      <c r="L11" s="46"/>
      <c r="M11" s="46"/>
      <c r="N11" s="46"/>
      <c r="O11" s="46"/>
    </row>
    <row r="12" spans="1:23" ht="15.75" thickBot="1" x14ac:dyDescent="0.3">
      <c r="A12" s="560"/>
      <c r="B12" s="490"/>
      <c r="C12" s="561"/>
      <c r="D12" s="490"/>
      <c r="E12" s="555"/>
      <c r="F12" s="562"/>
      <c r="J12" t="s">
        <v>872</v>
      </c>
      <c r="K12" s="302"/>
      <c r="L12" s="302"/>
      <c r="M12" s="302"/>
      <c r="N12" s="302"/>
      <c r="O12" s="302"/>
      <c r="Q12" t="s">
        <v>873</v>
      </c>
      <c r="R12" t="s">
        <v>874</v>
      </c>
      <c r="S12" t="s">
        <v>875</v>
      </c>
      <c r="W12" t="e" cm="1">
        <f t="array" ref="W12">_xlfn.XLOOKUP(B12,Q12:S12,Q13:S16)&amp;""</f>
        <v>#N/A</v>
      </c>
    </row>
    <row r="13" spans="1:23" x14ac:dyDescent="0.25">
      <c r="J13" t="s">
        <v>876</v>
      </c>
      <c r="Q13" s="22" t="s">
        <v>877</v>
      </c>
      <c r="R13" s="22" t="s">
        <v>878</v>
      </c>
      <c r="S13" t="s">
        <v>879</v>
      </c>
    </row>
    <row r="14" spans="1:23" ht="15.75" thickBot="1" x14ac:dyDescent="0.3">
      <c r="Q14" s="22" t="s">
        <v>880</v>
      </c>
      <c r="R14" s="22" t="s">
        <v>881</v>
      </c>
    </row>
    <row r="15" spans="1:23" ht="29.25" thickBot="1" x14ac:dyDescent="0.5">
      <c r="A15" s="1465" t="s">
        <v>882</v>
      </c>
      <c r="B15" s="1465"/>
      <c r="C15" s="1465"/>
      <c r="D15" s="1465"/>
      <c r="E15" s="1465"/>
      <c r="F15" s="1466"/>
      <c r="J15" s="14"/>
      <c r="K15" s="14"/>
      <c r="L15" s="14"/>
      <c r="M15" s="14"/>
      <c r="N15" s="14"/>
      <c r="O15" s="14"/>
      <c r="Q15" s="22" t="s">
        <v>883</v>
      </c>
      <c r="R15" s="22" t="s">
        <v>884</v>
      </c>
    </row>
    <row r="16" spans="1:23" ht="21" x14ac:dyDescent="0.35">
      <c r="A16" s="769" t="s">
        <v>885</v>
      </c>
      <c r="B16" s="1472" t="s">
        <v>866</v>
      </c>
      <c r="C16" s="1472"/>
      <c r="D16" s="774" t="s">
        <v>868</v>
      </c>
      <c r="E16" s="773" t="s">
        <v>869</v>
      </c>
      <c r="F16" s="775" t="s">
        <v>870</v>
      </c>
      <c r="J16" s="1464"/>
      <c r="K16" s="1464"/>
      <c r="L16" s="1464"/>
      <c r="M16" s="1464"/>
      <c r="N16" s="1464"/>
      <c r="O16" s="1464"/>
      <c r="R16" s="22" t="s">
        <v>886</v>
      </c>
    </row>
    <row r="17" spans="1:23" ht="21" x14ac:dyDescent="0.35">
      <c r="A17" s="557"/>
      <c r="B17" s="1473"/>
      <c r="C17" s="1473"/>
      <c r="D17" s="510"/>
      <c r="E17" s="558"/>
      <c r="F17" s="559"/>
      <c r="G17">
        <f t="shared" ref="G17:G22" si="0">IF(AND(IF(A17&lt;&gt;"", TRUE, FALSE),IF(B17&lt;&gt;"", TRUE, FALSE),IF(D17&lt;&gt;"", TRUE, FALSE),IF(E17&lt;&gt;"", TRUE, FALSE),IF(F17&lt;&gt;"", TRUE, FALSE)),1,0)</f>
        <v>0</v>
      </c>
      <c r="J17" s="303"/>
      <c r="K17" s="303"/>
      <c r="L17" s="303"/>
      <c r="M17" s="1464"/>
      <c r="N17" s="1464"/>
      <c r="O17" s="1464"/>
    </row>
    <row r="18" spans="1:23" x14ac:dyDescent="0.25">
      <c r="A18" s="557"/>
      <c r="B18" s="1473"/>
      <c r="C18" s="1473"/>
      <c r="D18" s="510"/>
      <c r="E18" s="558"/>
      <c r="F18" s="559"/>
      <c r="G18">
        <f t="shared" si="0"/>
        <v>0</v>
      </c>
    </row>
    <row r="19" spans="1:23" x14ac:dyDescent="0.25">
      <c r="A19" s="557"/>
      <c r="B19" s="1473"/>
      <c r="C19" s="1473"/>
      <c r="D19" s="510"/>
      <c r="E19" s="558"/>
      <c r="F19" s="559"/>
      <c r="G19">
        <f t="shared" si="0"/>
        <v>0</v>
      </c>
    </row>
    <row r="20" spans="1:23" x14ac:dyDescent="0.25">
      <c r="A20" s="557"/>
      <c r="B20" s="1473"/>
      <c r="C20" s="1473"/>
      <c r="D20" s="510"/>
      <c r="E20" s="558"/>
      <c r="F20" s="559"/>
      <c r="G20">
        <f t="shared" si="0"/>
        <v>0</v>
      </c>
      <c r="Q20" t="s">
        <v>888</v>
      </c>
    </row>
    <row r="21" spans="1:23" x14ac:dyDescent="0.25">
      <c r="A21" s="557"/>
      <c r="B21" s="1473"/>
      <c r="C21" s="1473"/>
      <c r="D21" s="510"/>
      <c r="E21" s="558"/>
      <c r="F21" s="559"/>
      <c r="G21">
        <f t="shared" si="0"/>
        <v>0</v>
      </c>
      <c r="J21" t="s">
        <v>871</v>
      </c>
      <c r="K21" t="s">
        <v>872</v>
      </c>
      <c r="Q21" t="s">
        <v>889</v>
      </c>
      <c r="W21" t="e" cm="1">
        <f t="array" ref="W21">_xlfn.XLOOKUP(A17,$J$21:$K$21,$J$22:$K$24)</f>
        <v>#N/A</v>
      </c>
    </row>
    <row r="22" spans="1:23" ht="15.75" thickBot="1" x14ac:dyDescent="0.3">
      <c r="A22" s="776"/>
      <c r="B22" s="1474"/>
      <c r="C22" s="1474"/>
      <c r="D22" s="777"/>
      <c r="E22" s="778"/>
      <c r="F22" s="779"/>
      <c r="G22">
        <f t="shared" si="0"/>
        <v>0</v>
      </c>
      <c r="J22" s="22" t="s">
        <v>890</v>
      </c>
      <c r="K22" t="s">
        <v>891</v>
      </c>
      <c r="Q22" t="s">
        <v>892</v>
      </c>
    </row>
    <row r="23" spans="1:23" x14ac:dyDescent="0.25">
      <c r="A23" s="89"/>
      <c r="B23" s="89"/>
      <c r="C23" s="89"/>
      <c r="D23" s="89"/>
      <c r="E23" s="89"/>
      <c r="F23" s="89"/>
      <c r="J23" t="s">
        <v>893</v>
      </c>
      <c r="K23" t="s">
        <v>887</v>
      </c>
      <c r="Q23" t="s">
        <v>894</v>
      </c>
    </row>
    <row r="24" spans="1:23" ht="21" x14ac:dyDescent="0.35">
      <c r="A24" s="1056" t="s">
        <v>117</v>
      </c>
      <c r="B24" s="1056"/>
      <c r="C24" s="89"/>
      <c r="D24" s="89"/>
      <c r="E24" s="89"/>
      <c r="F24" s="89"/>
      <c r="J24" t="s">
        <v>895</v>
      </c>
      <c r="K24" t="s">
        <v>896</v>
      </c>
    </row>
    <row r="25" spans="1:23" ht="15.75" thickBot="1" x14ac:dyDescent="0.3">
      <c r="A25" s="89"/>
      <c r="B25" s="89"/>
      <c r="C25" s="89"/>
      <c r="D25" s="89"/>
      <c r="E25" s="89"/>
      <c r="F25" s="89"/>
    </row>
    <row r="26" spans="1:23" x14ac:dyDescent="0.25">
      <c r="A26" s="203" t="s">
        <v>84</v>
      </c>
      <c r="B26" s="223" t="s">
        <v>149</v>
      </c>
      <c r="C26" s="412" t="s">
        <v>34</v>
      </c>
      <c r="G26">
        <f>SUM(G17:G22)</f>
        <v>0</v>
      </c>
    </row>
    <row r="27" spans="1:23" ht="30" x14ac:dyDescent="0.25">
      <c r="A27" s="1468" t="s">
        <v>866</v>
      </c>
      <c r="B27" s="218" t="s">
        <v>897</v>
      </c>
      <c r="C27" s="1470">
        <f>IF(AND(B12="Full accreditation",A12&lt;&gt;""), 5, IF(AND(B12="Partial/conditional accreditation",A12&lt;&gt;""), 3, 0))</f>
        <v>0</v>
      </c>
    </row>
    <row r="28" spans="1:23" ht="30" x14ac:dyDescent="0.25">
      <c r="A28" s="1468"/>
      <c r="B28" s="218" t="s">
        <v>898</v>
      </c>
      <c r="C28" s="1470"/>
    </row>
    <row r="29" spans="1:23" ht="30" x14ac:dyDescent="0.25">
      <c r="A29" s="1468" t="s">
        <v>882</v>
      </c>
      <c r="B29" s="218" t="s">
        <v>899</v>
      </c>
      <c r="C29" s="1470">
        <f>G26</f>
        <v>0</v>
      </c>
    </row>
    <row r="30" spans="1:23" ht="30.75" thickBot="1" x14ac:dyDescent="0.3">
      <c r="A30" s="1469"/>
      <c r="B30" s="219" t="s">
        <v>900</v>
      </c>
      <c r="C30" s="1471"/>
    </row>
  </sheetData>
  <sheetProtection algorithmName="SHA-512" hashValue="Pi5X5hYVMcLr2GTYHBrXcmS8IXFiypmaRiy/5nwyI3rZAKEfba+0G2QxLye9irEYr5SiuPmN91RtJ9IocKk3Wg==" saltValue="x+NmTcaS2Rw5O0pdfO7PnA==" spinCount="100000" sheet="1" objects="1" scenarios="1"/>
  <mergeCells count="21">
    <mergeCell ref="A29:A30"/>
    <mergeCell ref="C29:C30"/>
    <mergeCell ref="A27:A28"/>
    <mergeCell ref="C27:C28"/>
    <mergeCell ref="A15:F15"/>
    <mergeCell ref="A24:B24"/>
    <mergeCell ref="B16:C16"/>
    <mergeCell ref="B17:C17"/>
    <mergeCell ref="B18:C18"/>
    <mergeCell ref="B19:C19"/>
    <mergeCell ref="B20:C20"/>
    <mergeCell ref="B21:C21"/>
    <mergeCell ref="B22:C22"/>
    <mergeCell ref="J16:L16"/>
    <mergeCell ref="J1:O1"/>
    <mergeCell ref="M16:O16"/>
    <mergeCell ref="M17:O17"/>
    <mergeCell ref="A10:F10"/>
    <mergeCell ref="J3:O3"/>
    <mergeCell ref="J5:O5"/>
    <mergeCell ref="J10:O10"/>
  </mergeCells>
  <dataValidations count="9">
    <dataValidation type="list" allowBlank="1" showInputMessage="1" showErrorMessage="1" sqref="B12" xr:uid="{28D5E355-5CC5-4A79-9A69-867C19BE44F1}">
      <formula1>$Q$12:$S$12</formula1>
    </dataValidation>
    <dataValidation type="list" allowBlank="1" showInputMessage="1" showErrorMessage="1" sqref="A25 A23" xr:uid="{928DC616-5157-429E-82B6-080332A0D864}">
      <formula1>#REF!</formula1>
    </dataValidation>
    <dataValidation type="list" allowBlank="1" showInputMessage="1" showErrorMessage="1" sqref="A12" xr:uid="{9D2DDD4C-8A16-4755-9890-D9CFC96B679B}">
      <formula1>$J$11:$J$13</formula1>
    </dataValidation>
    <dataValidation type="list" allowBlank="1" showInputMessage="1" showErrorMessage="1" sqref="C12" xr:uid="{12A0F282-8684-491C-900F-CFE44AD63EFC}">
      <formula1>_xlfn.XLOOKUP(B12,Q12:S12,Q13:S16)</formula1>
    </dataValidation>
    <dataValidation type="list" allowBlank="1" showInputMessage="1" showErrorMessage="1" sqref="D17:D22 D12" xr:uid="{CADB653A-4167-467D-A7FA-5C72B75B3D2A}">
      <formula1>$Q$20:$Q$23</formula1>
    </dataValidation>
    <dataValidation type="list" allowBlank="1" showInputMessage="1" showErrorMessage="1" sqref="B25 B23" xr:uid="{8F6F2AD1-FA37-46D7-A3FA-DA2E9B17BC5C}">
      <formula1>_xlfn.XLOOKUP(A23,#REF!,#REF!)</formula1>
    </dataValidation>
    <dataValidation type="list" allowBlank="1" showInputMessage="1" showErrorMessage="1" sqref="B17:C22" xr:uid="{14DC620D-EB7B-4B70-9304-5B2895822EC2}">
      <formula1>_xlfn.XLOOKUP(A17,$J$21:$K$21,$J$22:$K$24)</formula1>
    </dataValidation>
    <dataValidation type="list" allowBlank="1" showInputMessage="1" showErrorMessage="1" sqref="A17:A22" xr:uid="{75B40393-B46F-4C7A-8B7F-0BA443FCB717}">
      <formula1>$J$11:$J$12</formula1>
    </dataValidation>
    <dataValidation type="date" allowBlank="1" showInputMessage="1" showErrorMessage="1" sqref="E12:F12 E17:F22" xr:uid="{671DB02C-4668-40CC-BE8F-C094BB7B1902}">
      <formula1>1</formula1>
      <formula2>73415</formula2>
    </dataValidation>
  </dataValidations>
  <hyperlinks>
    <hyperlink ref="C1" location="'Respondent Information'!A1" display="Back to Respondent Information" xr:uid="{2984CA54-9E61-4165-AD0E-7A1689E9FD7A}"/>
  </hyperlinks>
  <pageMargins left="0.7" right="0.7" top="0.75" bottom="0.75" header="0.3" footer="0.3"/>
  <pageSetup scale="58" fitToHeight="0" orientation="landscape" r:id="rId1"/>
  <headerFooter>
    <oddHeader>&amp;C&amp;"Arial,Bold"&amp;14EXHIBIT A-5-a-V3
SUBMISSION REQUIREMENTS AND EVALUATION RESPONSE TEMPLATE</oddHeader>
    <oddFooter>&amp;C&amp;"Arial,Bold"AHCA ITN 010-22/23, Attachment A, Exhibit A-5-a-V3, Page &amp;P of &amp;N</oddFooter>
  </headerFooter>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2C88B-BCE2-487C-A3B8-415751AFDA77}">
  <sheetPr codeName="Sheet13">
    <tabColor rgb="FF002060"/>
  </sheetPr>
  <dimension ref="A1:N3"/>
  <sheetViews>
    <sheetView zoomScaleNormal="100" workbookViewId="0"/>
  </sheetViews>
  <sheetFormatPr defaultRowHeight="15" x14ac:dyDescent="0.25"/>
  <cols>
    <col min="11" max="11" width="9.28515625" customWidth="1"/>
  </cols>
  <sheetData>
    <row r="1" spans="1:14" ht="28.5" x14ac:dyDescent="0.45">
      <c r="A1" s="691" t="s">
        <v>901</v>
      </c>
      <c r="B1" s="19"/>
      <c r="C1" s="19"/>
      <c r="D1" s="19"/>
      <c r="E1" s="19"/>
      <c r="F1" s="19"/>
      <c r="G1" s="19"/>
      <c r="H1" s="19"/>
      <c r="I1" s="19"/>
      <c r="L1" s="643"/>
      <c r="M1" s="643"/>
      <c r="N1" s="643"/>
    </row>
    <row r="3" spans="1:14" x14ac:dyDescent="0.25">
      <c r="A3" s="1055" t="s">
        <v>82</v>
      </c>
      <c r="B3" s="1055"/>
      <c r="C3" s="1055"/>
      <c r="D3" s="1055"/>
    </row>
  </sheetData>
  <sheetProtection algorithmName="SHA-512" hashValue="pN99fVaGCiN8YDXYBB/xE7qIgY6RjLqaNT4rqB2hNwnPThUwoB66i6vw3jQxJVO/TDWRo7KVauDu6iIRAr36Ig==" saltValue="7rupcGdG5Ko+YlpMF+DS+Q==" spinCount="100000" sheet="1" objects="1" scenarios="1"/>
  <mergeCells count="1">
    <mergeCell ref="A3:D3"/>
  </mergeCells>
  <hyperlinks>
    <hyperlink ref="A3" location="'Respondent Information'!A1" display="Back to Respondent Information" xr:uid="{C76065A6-7BEA-4789-B7D5-4F88342081ED}"/>
  </hyperlinks>
  <pageMargins left="0.7" right="0.7" top="0.75" bottom="0.75" header="0.3" footer="0.3"/>
  <pageSetup orientation="portrait" r:id="rId1"/>
  <headerFooter>
    <oddHeader>&amp;C&amp;"Arial,Bold"&amp;14EXHIBIT A-5-a-V3
SUBMISSION REQUIREMENTS AND EVALUATION RESPONSE TEMPLATE</oddHeader>
    <oddFooter>&amp;C&amp;"Arial,Bold"AHCA ITN 010-22/23, Attachment A, Exhibit A-5-a-V3, Page &amp;P of &amp;N</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DEAEB-83AB-4D89-8CEE-5B9A1E41B1C1}">
  <sheetPr codeName="Sheet2">
    <tabColor rgb="FF002060"/>
    <pageSetUpPr fitToPage="1"/>
  </sheetPr>
  <dimension ref="A1:J72"/>
  <sheetViews>
    <sheetView zoomScaleNormal="100" workbookViewId="0"/>
  </sheetViews>
  <sheetFormatPr defaultRowHeight="15" x14ac:dyDescent="0.25"/>
  <cols>
    <col min="1" max="1" width="61" customWidth="1"/>
    <col min="2" max="2" width="23.28515625" bestFit="1" customWidth="1"/>
    <col min="3" max="3" width="20.5703125" customWidth="1"/>
    <col min="4" max="4" width="22" customWidth="1"/>
    <col min="5" max="5" width="13.7109375" customWidth="1"/>
    <col min="6" max="6" width="14.85546875" customWidth="1"/>
    <col min="7" max="7" width="14" customWidth="1"/>
    <col min="8" max="8" width="13.5703125" customWidth="1"/>
    <col min="9" max="9" width="14" customWidth="1"/>
    <col min="10" max="10" width="12.7109375" customWidth="1"/>
    <col min="11" max="11" width="57.140625" customWidth="1"/>
  </cols>
  <sheetData>
    <row r="1" spans="1:4" ht="26.25" customHeight="1" x14ac:dyDescent="0.35">
      <c r="A1" s="691" t="s">
        <v>902</v>
      </c>
      <c r="C1" s="1055" t="s">
        <v>82</v>
      </c>
      <c r="D1" s="1055"/>
    </row>
    <row r="3" spans="1:4" x14ac:dyDescent="0.25">
      <c r="A3" s="692" t="s">
        <v>84</v>
      </c>
      <c r="B3" s="692" t="s">
        <v>85</v>
      </c>
    </row>
    <row r="4" spans="1:4" x14ac:dyDescent="0.25">
      <c r="A4" s="693" t="s">
        <v>87</v>
      </c>
      <c r="B4" s="179">
        <v>15</v>
      </c>
    </row>
    <row r="5" spans="1:4" x14ac:dyDescent="0.25">
      <c r="A5" s="693" t="s">
        <v>88</v>
      </c>
      <c r="B5" s="179">
        <f>C65</f>
        <v>0</v>
      </c>
    </row>
    <row r="6" spans="1:4" x14ac:dyDescent="0.25">
      <c r="A6" s="413" t="s">
        <v>89</v>
      </c>
      <c r="B6" s="420">
        <f>B5/B4</f>
        <v>0</v>
      </c>
    </row>
    <row r="7" spans="1:4" x14ac:dyDescent="0.25">
      <c r="A7" s="413" t="s">
        <v>135</v>
      </c>
      <c r="B7" s="414">
        <v>200</v>
      </c>
    </row>
    <row r="8" spans="1:4" x14ac:dyDescent="0.25">
      <c r="A8" s="413" t="s">
        <v>903</v>
      </c>
      <c r="B8" s="421">
        <f>B6*B7</f>
        <v>0</v>
      </c>
    </row>
    <row r="9" spans="1:4" ht="15.75" thickBot="1" x14ac:dyDescent="0.3"/>
    <row r="10" spans="1:4" ht="23.25" x14ac:dyDescent="0.35">
      <c r="A10" s="168"/>
      <c r="B10" s="676">
        <f>'Respondent Information'!C6</f>
        <v>0</v>
      </c>
      <c r="C10" s="118"/>
      <c r="D10" s="118"/>
    </row>
    <row r="11" spans="1:4" x14ac:dyDescent="0.25">
      <c r="A11" s="646" t="s">
        <v>20</v>
      </c>
      <c r="B11" s="165">
        <f>'Respondent Information'!E6</f>
        <v>0</v>
      </c>
    </row>
    <row r="12" spans="1:4" x14ac:dyDescent="0.25">
      <c r="A12" s="646" t="s">
        <v>904</v>
      </c>
      <c r="B12" s="338">
        <f>'Respondent Information'!M7</f>
        <v>0</v>
      </c>
    </row>
    <row r="13" spans="1:4" x14ac:dyDescent="0.25">
      <c r="A13" s="646" t="s">
        <v>905</v>
      </c>
      <c r="B13" s="340"/>
    </row>
    <row r="14" spans="1:4" x14ac:dyDescent="0.25">
      <c r="A14" s="92" t="s">
        <v>906</v>
      </c>
      <c r="B14" s="563"/>
    </row>
    <row r="15" spans="1:4" x14ac:dyDescent="0.25">
      <c r="A15" s="92" t="s">
        <v>907</v>
      </c>
      <c r="B15" s="563"/>
    </row>
    <row r="16" spans="1:4" x14ac:dyDescent="0.25">
      <c r="A16" s="92" t="s">
        <v>908</v>
      </c>
      <c r="B16" s="338">
        <f>B14-B15</f>
        <v>0</v>
      </c>
    </row>
    <row r="17" spans="1:4" x14ac:dyDescent="0.25">
      <c r="A17" s="92" t="s">
        <v>909</v>
      </c>
      <c r="B17" s="229">
        <f>IF(ISERROR(B16/B14), 0, B16/B14)</f>
        <v>0</v>
      </c>
    </row>
    <row r="18" spans="1:4" x14ac:dyDescent="0.25">
      <c r="A18" s="92" t="s">
        <v>910</v>
      </c>
      <c r="B18" s="229">
        <f>IF(ISERROR(B14/B12), 0, B14/B12)</f>
        <v>0</v>
      </c>
      <c r="D18" s="6"/>
    </row>
    <row r="19" spans="1:4" x14ac:dyDescent="0.25">
      <c r="A19" s="92" t="s">
        <v>911</v>
      </c>
      <c r="B19" s="563"/>
    </row>
    <row r="20" spans="1:4" x14ac:dyDescent="0.25">
      <c r="A20" s="92" t="s">
        <v>912</v>
      </c>
      <c r="B20" s="229">
        <f>IF(ISERROR(B19/B12), 0, B19/B12)</f>
        <v>0</v>
      </c>
    </row>
    <row r="21" spans="1:4" x14ac:dyDescent="0.25">
      <c r="A21" s="646" t="s">
        <v>913</v>
      </c>
      <c r="B21" s="340"/>
    </row>
    <row r="22" spans="1:4" x14ac:dyDescent="0.25">
      <c r="A22" s="92" t="s">
        <v>914</v>
      </c>
      <c r="B22" s="563"/>
    </row>
    <row r="23" spans="1:4" x14ac:dyDescent="0.25">
      <c r="A23" s="92" t="s">
        <v>915</v>
      </c>
      <c r="B23" s="563"/>
    </row>
    <row r="24" spans="1:4" x14ac:dyDescent="0.25">
      <c r="A24" s="92" t="s">
        <v>916</v>
      </c>
      <c r="B24" s="338">
        <f>B22-B23</f>
        <v>0</v>
      </c>
    </row>
    <row r="25" spans="1:4" x14ac:dyDescent="0.25">
      <c r="A25" s="92" t="s">
        <v>917</v>
      </c>
      <c r="B25" s="229">
        <f>IF(ISERROR(B24/B22),0,(B24/B22))</f>
        <v>0</v>
      </c>
    </row>
    <row r="26" spans="1:4" x14ac:dyDescent="0.25">
      <c r="A26" s="92" t="s">
        <v>918</v>
      </c>
      <c r="B26" s="229">
        <f>IF(ISERROR(B22/B12), 0, B22/B12)</f>
        <v>0</v>
      </c>
    </row>
    <row r="27" spans="1:4" x14ac:dyDescent="0.25">
      <c r="A27" s="92" t="s">
        <v>919</v>
      </c>
      <c r="B27" s="563"/>
    </row>
    <row r="28" spans="1:4" x14ac:dyDescent="0.25">
      <c r="A28" s="92" t="s">
        <v>912</v>
      </c>
      <c r="B28" s="229">
        <f>IF(ISERROR(B27/B12), 0, B27/B12)</f>
        <v>0</v>
      </c>
    </row>
    <row r="29" spans="1:4" x14ac:dyDescent="0.25">
      <c r="A29" s="646" t="s">
        <v>920</v>
      </c>
      <c r="B29" s="340"/>
    </row>
    <row r="30" spans="1:4" x14ac:dyDescent="0.25">
      <c r="A30" s="92" t="s">
        <v>921</v>
      </c>
      <c r="B30" s="564"/>
    </row>
    <row r="31" spans="1:4" x14ac:dyDescent="0.25">
      <c r="A31" s="92" t="s">
        <v>922</v>
      </c>
      <c r="B31" s="564"/>
    </row>
    <row r="32" spans="1:4" x14ac:dyDescent="0.25">
      <c r="A32" s="92" t="s">
        <v>923</v>
      </c>
      <c r="B32" s="229">
        <f>IF(ISERROR(B31/B30), 0, B31/B30)</f>
        <v>0</v>
      </c>
    </row>
    <row r="33" spans="1:10" x14ac:dyDescent="0.25">
      <c r="A33" s="92" t="s">
        <v>924</v>
      </c>
      <c r="B33" s="564"/>
    </row>
    <row r="34" spans="1:10" ht="15.75" thickBot="1" x14ac:dyDescent="0.3">
      <c r="A34" s="80" t="s">
        <v>925</v>
      </c>
      <c r="B34" s="339">
        <f>IF(ISERROR(B33/B30), 0, (B33/B30))</f>
        <v>0</v>
      </c>
    </row>
    <row r="36" spans="1:10" x14ac:dyDescent="0.25">
      <c r="B36" s="5"/>
      <c r="C36" s="5"/>
      <c r="D36" s="5"/>
    </row>
    <row r="37" spans="1:10" ht="21" x14ac:dyDescent="0.35">
      <c r="A37" s="1056" t="s">
        <v>431</v>
      </c>
      <c r="B37" s="1056"/>
      <c r="C37" s="5"/>
      <c r="D37" s="5"/>
    </row>
    <row r="38" spans="1:10" ht="15.75" thickBot="1" x14ac:dyDescent="0.3">
      <c r="B38" s="5"/>
      <c r="C38" s="5"/>
      <c r="D38" s="5"/>
    </row>
    <row r="39" spans="1:10" ht="42" customHeight="1" x14ac:dyDescent="0.25">
      <c r="A39" s="659" t="s">
        <v>218</v>
      </c>
      <c r="B39" s="167" t="s">
        <v>149</v>
      </c>
      <c r="C39" s="341" t="s">
        <v>34</v>
      </c>
      <c r="D39" s="36"/>
      <c r="E39" s="36"/>
      <c r="F39" s="36"/>
      <c r="G39" s="36"/>
      <c r="H39" s="36"/>
    </row>
    <row r="40" spans="1:10" ht="45" customHeight="1" x14ac:dyDescent="0.25">
      <c r="A40" s="1479" t="s">
        <v>926</v>
      </c>
      <c r="B40" s="1480"/>
      <c r="C40" s="1481"/>
      <c r="D40" s="166"/>
      <c r="E40" s="166"/>
      <c r="F40" s="36"/>
      <c r="G40" s="36"/>
      <c r="H40" s="36"/>
      <c r="I40" s="36"/>
      <c r="J40" s="36"/>
    </row>
    <row r="41" spans="1:10" ht="18.75" x14ac:dyDescent="0.3">
      <c r="A41" s="342" t="s">
        <v>927</v>
      </c>
      <c r="B41" s="40">
        <v>3</v>
      </c>
      <c r="C41" s="1143">
        <f>IF(ISBLANK(B14), 0, IF(Grievances!B17&gt;0.2599, 0, IF(Grievances!B17&gt;0.1099, 1, IF(Grievances!B17&gt;0.0599, 2, IF(Grievances!B17&lt;0.06, 3, 0)))))</f>
        <v>0</v>
      </c>
      <c r="D41" s="37"/>
      <c r="E41" s="37"/>
      <c r="F41" s="37"/>
      <c r="G41" s="37"/>
      <c r="H41" s="37"/>
    </row>
    <row r="42" spans="1:10" x14ac:dyDescent="0.25">
      <c r="A42" s="342" t="s">
        <v>928</v>
      </c>
      <c r="B42" s="40">
        <v>2</v>
      </c>
      <c r="C42" s="1477"/>
      <c r="D42" s="38"/>
      <c r="E42" s="36"/>
      <c r="F42" s="36"/>
      <c r="G42" s="36"/>
      <c r="H42" s="36"/>
    </row>
    <row r="43" spans="1:10" x14ac:dyDescent="0.25">
      <c r="A43" s="342" t="s">
        <v>929</v>
      </c>
      <c r="B43" s="40">
        <v>1</v>
      </c>
      <c r="C43" s="1477"/>
      <c r="D43" s="36"/>
      <c r="E43" s="36"/>
      <c r="F43" s="36"/>
      <c r="G43" s="39"/>
      <c r="H43" s="39"/>
    </row>
    <row r="44" spans="1:10" x14ac:dyDescent="0.25">
      <c r="A44" s="342" t="s">
        <v>930</v>
      </c>
      <c r="B44" s="40">
        <v>0</v>
      </c>
      <c r="C44" s="1478"/>
      <c r="D44" s="36"/>
      <c r="E44" s="36"/>
      <c r="F44" s="36"/>
      <c r="G44" s="39"/>
      <c r="H44" s="39"/>
    </row>
    <row r="45" spans="1:10" ht="45" customHeight="1" x14ac:dyDescent="0.25">
      <c r="A45" s="1479" t="s">
        <v>931</v>
      </c>
      <c r="B45" s="1480"/>
      <c r="C45" s="1481"/>
      <c r="D45" s="166"/>
      <c r="E45" s="166"/>
      <c r="F45" s="36"/>
      <c r="G45" s="36"/>
      <c r="H45" s="36"/>
      <c r="I45" s="39"/>
      <c r="J45" s="39"/>
    </row>
    <row r="46" spans="1:10" x14ac:dyDescent="0.25">
      <c r="A46" s="342" t="s">
        <v>927</v>
      </c>
      <c r="B46" s="40">
        <v>3</v>
      </c>
      <c r="C46" s="1143">
        <f>IF(ISBLANK(B14), 0, IF(B18&gt;=0.26, 0, IF(B18&gt;=0.11, 1, IF(B18&gt;0.0599, 2, 3))))</f>
        <v>0</v>
      </c>
      <c r="D46" s="36"/>
      <c r="E46" s="36"/>
      <c r="F46" s="36"/>
      <c r="G46" s="39"/>
      <c r="H46" s="39"/>
    </row>
    <row r="47" spans="1:10" x14ac:dyDescent="0.25">
      <c r="A47" s="342" t="s">
        <v>928</v>
      </c>
      <c r="B47" s="40">
        <v>2</v>
      </c>
      <c r="C47" s="1477"/>
      <c r="D47" s="36"/>
      <c r="E47" s="36"/>
      <c r="F47" s="36"/>
      <c r="G47" s="36"/>
      <c r="H47" s="36"/>
    </row>
    <row r="48" spans="1:10" x14ac:dyDescent="0.25">
      <c r="A48" s="342" t="s">
        <v>929</v>
      </c>
      <c r="B48" s="40">
        <v>1</v>
      </c>
      <c r="C48" s="1477"/>
      <c r="D48" s="38"/>
      <c r="E48" s="36"/>
      <c r="F48" s="36"/>
      <c r="G48" s="36"/>
      <c r="H48" s="36"/>
    </row>
    <row r="49" spans="1:10" x14ac:dyDescent="0.25">
      <c r="A49" s="342" t="s">
        <v>930</v>
      </c>
      <c r="B49" s="40">
        <v>0</v>
      </c>
      <c r="C49" s="1478"/>
      <c r="D49" s="36"/>
      <c r="E49" s="36"/>
      <c r="F49" s="36"/>
      <c r="G49" s="39"/>
      <c r="H49" s="39"/>
    </row>
    <row r="50" spans="1:10" ht="45" customHeight="1" x14ac:dyDescent="0.25">
      <c r="A50" s="1479" t="s">
        <v>932</v>
      </c>
      <c r="B50" s="1480"/>
      <c r="C50" s="1481"/>
      <c r="D50" s="166"/>
      <c r="E50" s="166"/>
      <c r="F50" s="36"/>
      <c r="G50" s="36"/>
      <c r="H50" s="36"/>
      <c r="I50" s="39"/>
      <c r="J50" s="39"/>
    </row>
    <row r="51" spans="1:10" x14ac:dyDescent="0.25">
      <c r="A51" s="342" t="s">
        <v>927</v>
      </c>
      <c r="B51" s="40">
        <v>3</v>
      </c>
      <c r="C51" s="1143">
        <f>IF(ISBLANK(B22), 0, IF(B25&gt;0.2599, 0, IF(B25&gt;0.1099, 1, IF(B25&gt;0.0599, 2, IF(B25&lt;0.06, 3, 0)))))</f>
        <v>0</v>
      </c>
      <c r="D51" s="36"/>
      <c r="E51" s="36"/>
      <c r="F51" s="36"/>
      <c r="G51" s="39"/>
      <c r="H51" s="39"/>
    </row>
    <row r="52" spans="1:10" x14ac:dyDescent="0.25">
      <c r="A52" s="342" t="s">
        <v>928</v>
      </c>
      <c r="B52" s="40">
        <v>2</v>
      </c>
      <c r="C52" s="1477"/>
      <c r="D52" s="36"/>
      <c r="E52" s="36"/>
      <c r="F52" s="36"/>
      <c r="G52" s="39"/>
      <c r="H52" s="39"/>
    </row>
    <row r="53" spans="1:10" x14ac:dyDescent="0.25">
      <c r="A53" s="342" t="s">
        <v>929</v>
      </c>
      <c r="B53" s="40">
        <v>1</v>
      </c>
      <c r="C53" s="1477"/>
      <c r="D53" s="36"/>
      <c r="E53" s="36"/>
      <c r="F53" s="36"/>
      <c r="G53" s="36"/>
      <c r="H53" s="36"/>
    </row>
    <row r="54" spans="1:10" x14ac:dyDescent="0.25">
      <c r="A54" s="343" t="s">
        <v>930</v>
      </c>
      <c r="B54" s="40">
        <v>0</v>
      </c>
      <c r="C54" s="1477"/>
      <c r="D54" s="36"/>
      <c r="E54" s="36"/>
      <c r="F54" s="36"/>
      <c r="G54" s="36"/>
      <c r="H54" s="36"/>
    </row>
    <row r="55" spans="1:10" x14ac:dyDescent="0.25">
      <c r="A55" s="1479" t="s">
        <v>933</v>
      </c>
      <c r="B55" s="1480"/>
      <c r="C55" s="1481"/>
      <c r="D55" s="36"/>
      <c r="E55" s="36"/>
      <c r="F55" s="36"/>
      <c r="G55" s="36"/>
      <c r="H55" s="36"/>
    </row>
    <row r="56" spans="1:10" ht="15" customHeight="1" x14ac:dyDescent="0.25">
      <c r="A56" s="342" t="s">
        <v>927</v>
      </c>
      <c r="B56" s="40">
        <v>3</v>
      </c>
      <c r="C56" s="1143">
        <f>IF(ISBLANK(B22), 0, IF(B26&gt;0.2599, 0, IF(B26&gt;0.1099, 1, IF(B26&gt;0.0599, 2, IF(B26&lt;0.06, 3, 0)))))</f>
        <v>0</v>
      </c>
      <c r="E56" s="166"/>
      <c r="F56" s="166"/>
    </row>
    <row r="57" spans="1:10" x14ac:dyDescent="0.25">
      <c r="A57" s="342" t="s">
        <v>928</v>
      </c>
      <c r="B57" s="40">
        <v>2</v>
      </c>
      <c r="C57" s="1477"/>
    </row>
    <row r="58" spans="1:10" x14ac:dyDescent="0.25">
      <c r="A58" s="342" t="s">
        <v>929</v>
      </c>
      <c r="B58" s="40">
        <v>1</v>
      </c>
      <c r="C58" s="1477"/>
    </row>
    <row r="59" spans="1:10" x14ac:dyDescent="0.25">
      <c r="A59" s="343" t="s">
        <v>930</v>
      </c>
      <c r="B59" s="40">
        <v>0</v>
      </c>
      <c r="C59" s="1478"/>
    </row>
    <row r="60" spans="1:10" ht="15" customHeight="1" x14ac:dyDescent="0.25">
      <c r="A60" s="1479" t="s">
        <v>934</v>
      </c>
      <c r="B60" s="1480"/>
      <c r="C60" s="1481"/>
    </row>
    <row r="61" spans="1:10" ht="15" customHeight="1" x14ac:dyDescent="0.25">
      <c r="A61" s="342" t="s">
        <v>927</v>
      </c>
      <c r="B61" s="40">
        <v>3</v>
      </c>
      <c r="C61" s="1143">
        <f>IF(ISBLANK(B30), 0, IF(B34&gt;0.2599, 0, IF(B34&gt;0.1099, 1, IF(B34&gt;0.0599, 2, IF(B34&lt;0.06, 3, 0)))))</f>
        <v>0</v>
      </c>
      <c r="E61" s="166"/>
      <c r="F61" s="166"/>
    </row>
    <row r="62" spans="1:10" x14ac:dyDescent="0.25">
      <c r="A62" s="342" t="s">
        <v>928</v>
      </c>
      <c r="B62" s="40">
        <v>2</v>
      </c>
      <c r="C62" s="1477"/>
    </row>
    <row r="63" spans="1:10" x14ac:dyDescent="0.25">
      <c r="A63" s="342" t="s">
        <v>929</v>
      </c>
      <c r="B63" s="40">
        <v>1</v>
      </c>
      <c r="C63" s="1477"/>
    </row>
    <row r="64" spans="1:10" ht="15.75" thickBot="1" x14ac:dyDescent="0.3">
      <c r="A64" s="343" t="s">
        <v>930</v>
      </c>
      <c r="B64" s="169">
        <v>0</v>
      </c>
      <c r="C64" s="1477"/>
    </row>
    <row r="65" spans="1:6" ht="15.75" thickBot="1" x14ac:dyDescent="0.3">
      <c r="A65" s="1475" t="s">
        <v>128</v>
      </c>
      <c r="B65" s="1476"/>
      <c r="C65" s="133">
        <f>SUM(C41,C46,C51,C56,C61)</f>
        <v>0</v>
      </c>
    </row>
    <row r="66" spans="1:6" ht="15" customHeight="1" x14ac:dyDescent="0.25">
      <c r="E66" s="166"/>
      <c r="F66" s="166"/>
    </row>
    <row r="72" spans="1:6" x14ac:dyDescent="0.25">
      <c r="A72" s="20"/>
    </row>
  </sheetData>
  <sheetProtection algorithmName="SHA-512" hashValue="eLCwrf1SogsSWYvdHYHD6jVEzYmDa6xrqpP7mwcfcEou7F+90X5WST4Mz7hvVCxsabdQkNWrp2thp1QNqiF30A==" saltValue="r4vOrRYBec0iEJbvcC21yg==" spinCount="100000" sheet="1" objects="1" scenarios="1"/>
  <mergeCells count="13">
    <mergeCell ref="C1:D1"/>
    <mergeCell ref="A40:C40"/>
    <mergeCell ref="A45:C45"/>
    <mergeCell ref="A50:C50"/>
    <mergeCell ref="A55:C55"/>
    <mergeCell ref="A65:B65"/>
    <mergeCell ref="C56:C59"/>
    <mergeCell ref="C61:C64"/>
    <mergeCell ref="A60:C60"/>
    <mergeCell ref="A37:B37"/>
    <mergeCell ref="C41:C44"/>
    <mergeCell ref="C46:C49"/>
    <mergeCell ref="C51:C54"/>
  </mergeCells>
  <phoneticPr fontId="39" type="noConversion"/>
  <dataValidations count="6">
    <dataValidation type="whole" allowBlank="1" showInputMessage="1" showErrorMessage="1" sqref="B22 B14" xr:uid="{D89D97B5-987D-438A-81A9-83B2AEA28F53}">
      <formula1>0</formula1>
      <formula2>100000000000</formula2>
    </dataValidation>
    <dataValidation type="whole" operator="lessThanOrEqual" allowBlank="1" showInputMessage="1" showErrorMessage="1" sqref="B15 B23 B31" xr:uid="{BE46CB10-0634-482C-BEC6-BA165B805089}">
      <formula1>B14</formula1>
    </dataValidation>
    <dataValidation type="whole" allowBlank="1" showInputMessage="1" showErrorMessage="1" sqref="B30" xr:uid="{7F7574C9-E044-486D-BF5B-0F1811EDFCC5}">
      <formula1>0</formula1>
      <formula2>999999</formula2>
    </dataValidation>
    <dataValidation type="whole" operator="lessThanOrEqual" allowBlank="1" showInputMessage="1" showErrorMessage="1" sqref="B27" xr:uid="{A4A1F556-4BF8-43D7-9697-6ACD9C6ED872}">
      <formula1>B12</formula1>
    </dataValidation>
    <dataValidation type="whole" operator="lessThanOrEqual" allowBlank="1" showInputMessage="1" showErrorMessage="1" sqref="B33" xr:uid="{C503E28C-41BD-465A-937E-DBDBF3C8AF6A}">
      <formula1>B30</formula1>
    </dataValidation>
    <dataValidation type="whole" operator="lessThanOrEqual" allowBlank="1" showInputMessage="1" showErrorMessage="1" sqref="B19" xr:uid="{A572B324-245F-40F1-A306-280131EE8BAB}">
      <formula1>B12</formula1>
    </dataValidation>
  </dataValidations>
  <hyperlinks>
    <hyperlink ref="C1" location="'Respondent Information'!A1" display="Back to Respondent Information" xr:uid="{A040EB23-C53C-45E5-B347-13C9A579628D}"/>
  </hyperlinks>
  <pageMargins left="0.7" right="0.7" top="0.75" bottom="0.75" header="0.3" footer="0.3"/>
  <pageSetup scale="61" orientation="portrait" r:id="rId1"/>
  <headerFooter>
    <oddHeader>&amp;C&amp;"Arial,Bold"&amp;14EXHIBIT A-5-a-V3
SUBMISSION REQUIREMENTS AND EVALUATION RESPONSE TEMPLATE</oddHeader>
    <oddFooter>&amp;C&amp;"Arial,Bold"AHCA ITN 010-22/23, Attachment A, Exhibit A-5-a-V3, Page &amp;P of &amp;N</oddFooter>
  </headerFooter>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D7492-A6A3-416B-ADE6-97A012C4265E}">
  <sheetPr codeName="Sheet19">
    <tabColor theme="9" tint="0.59999389629810485"/>
  </sheetPr>
  <dimension ref="A1:J4"/>
  <sheetViews>
    <sheetView workbookViewId="0"/>
  </sheetViews>
  <sheetFormatPr defaultRowHeight="15" x14ac:dyDescent="0.25"/>
  <sheetData>
    <row r="1" spans="1:10" ht="28.5" x14ac:dyDescent="0.45">
      <c r="A1" s="691" t="s">
        <v>935</v>
      </c>
      <c r="B1" s="19"/>
      <c r="C1" s="19"/>
      <c r="D1" s="19"/>
      <c r="E1" s="19"/>
      <c r="F1" s="19"/>
      <c r="G1" s="19"/>
      <c r="H1" s="19"/>
      <c r="I1" s="19"/>
      <c r="J1" s="691" t="s">
        <v>935</v>
      </c>
    </row>
    <row r="2" spans="1:10" ht="28.5" x14ac:dyDescent="0.45">
      <c r="A2" s="691" t="s">
        <v>133</v>
      </c>
      <c r="B2" s="19"/>
      <c r="C2" s="19"/>
      <c r="D2" s="19"/>
      <c r="E2" s="19"/>
      <c r="F2" s="19"/>
      <c r="G2" s="19"/>
      <c r="H2" s="19"/>
      <c r="I2" s="19"/>
      <c r="J2" s="691" t="s">
        <v>936</v>
      </c>
    </row>
    <row r="3" spans="1:10" ht="15" customHeight="1" x14ac:dyDescent="0.45">
      <c r="A3" s="19"/>
      <c r="B3" s="19"/>
      <c r="C3" s="19"/>
      <c r="D3" s="19"/>
      <c r="E3" s="19"/>
      <c r="F3" s="19"/>
      <c r="G3" s="19"/>
      <c r="H3" s="19"/>
      <c r="I3" s="19"/>
      <c r="J3" s="19"/>
    </row>
    <row r="4" spans="1:10" x14ac:dyDescent="0.25">
      <c r="A4" s="1083" t="s">
        <v>82</v>
      </c>
      <c r="B4" s="1083"/>
      <c r="C4" s="1083"/>
      <c r="D4" s="1083"/>
    </row>
  </sheetData>
  <sheetProtection algorithmName="SHA-512" hashValue="UJdSqGGHoqe32BfzuK6JCkSCPiKVGVLabpNP6ltPGTxDk0/w2xHfTVoE7rJdaT86K+LbZKzvT91K7b82fmlqWA==" saltValue="0VEv/65cyoeMmwdF2QeGYA==" spinCount="100000" sheet="1" objects="1" scenarios="1"/>
  <mergeCells count="1">
    <mergeCell ref="A4:D4"/>
  </mergeCells>
  <hyperlinks>
    <hyperlink ref="A4" location="'Respondent Information'!A1" display="Back to Respondent Information" xr:uid="{187D080D-F7C3-4462-A22E-911006DA2459}"/>
  </hyperlinks>
  <pageMargins left="0.7" right="0.7" top="0.75" bottom="0.75" header="0.3" footer="0.3"/>
  <pageSetup orientation="portrait" r:id="rId1"/>
  <headerFooter>
    <oddHeader>&amp;C&amp;"Arial,Bold"&amp;14EXHIBIT A-5-a-V3
SUBMISSION REQUIREMENTS AND EVALUATION RESPONSE TEMPLATE</oddHeader>
    <oddFooter>&amp;C&amp;"Arial,Bold"AHCA ITN 010-22/23, Attachment A, Exhibit A-5-a-V3, Page &amp;P of &amp;N</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85143-4AE7-4543-9B9F-D4BB9ED36600}">
  <sheetPr codeName="Sheet26">
    <tabColor theme="9" tint="0.59999389629810485"/>
    <pageSetUpPr fitToPage="1"/>
  </sheetPr>
  <dimension ref="A1:I75"/>
  <sheetViews>
    <sheetView zoomScaleNormal="100" workbookViewId="0">
      <pane ySplit="11" topLeftCell="A12" activePane="bottomLeft" state="frozen"/>
      <selection sqref="A1:J2"/>
      <selection pane="bottomLeft"/>
    </sheetView>
  </sheetViews>
  <sheetFormatPr defaultRowHeight="15" x14ac:dyDescent="0.25"/>
  <cols>
    <col min="1" max="1" width="73.85546875" customWidth="1"/>
    <col min="2" max="2" width="34.140625" bestFit="1" customWidth="1"/>
    <col min="3" max="3" width="30.140625" bestFit="1" customWidth="1"/>
    <col min="4" max="4" width="27.42578125" customWidth="1"/>
    <col min="5" max="10" width="12.7109375" customWidth="1"/>
  </cols>
  <sheetData>
    <row r="1" spans="1:9" ht="23.25" x14ac:dyDescent="0.35">
      <c r="A1" s="691" t="s">
        <v>935</v>
      </c>
      <c r="C1" s="701" t="s">
        <v>82</v>
      </c>
    </row>
    <row r="2" spans="1:9" ht="28.5" x14ac:dyDescent="0.45">
      <c r="A2" s="14"/>
      <c r="C2" s="417"/>
    </row>
    <row r="3" spans="1:9" x14ac:dyDescent="0.25">
      <c r="A3" s="692" t="s">
        <v>84</v>
      </c>
      <c r="B3" s="692" t="s">
        <v>85</v>
      </c>
    </row>
    <row r="4" spans="1:9" x14ac:dyDescent="0.25">
      <c r="A4" s="693" t="s">
        <v>87</v>
      </c>
      <c r="B4" s="222">
        <v>375</v>
      </c>
    </row>
    <row r="5" spans="1:9" x14ac:dyDescent="0.25">
      <c r="A5" s="693" t="s">
        <v>88</v>
      </c>
      <c r="B5" s="222">
        <f>D75</f>
        <v>0</v>
      </c>
      <c r="C5" s="111"/>
      <c r="D5" s="111"/>
      <c r="E5" s="111"/>
      <c r="F5" s="110"/>
      <c r="G5" s="111"/>
      <c r="H5" s="110"/>
      <c r="I5" s="110"/>
    </row>
    <row r="6" spans="1:9" x14ac:dyDescent="0.25">
      <c r="A6" s="413" t="s">
        <v>89</v>
      </c>
      <c r="B6" s="420">
        <f>B5/B4</f>
        <v>0</v>
      </c>
      <c r="C6" s="111"/>
      <c r="D6" s="111"/>
      <c r="E6" s="111"/>
      <c r="F6" s="110"/>
      <c r="G6" s="111"/>
      <c r="H6" s="110"/>
      <c r="I6" s="110"/>
    </row>
    <row r="7" spans="1:9" x14ac:dyDescent="0.25">
      <c r="A7" s="413" t="s">
        <v>135</v>
      </c>
      <c r="B7" s="419">
        <v>200</v>
      </c>
      <c r="C7" s="111"/>
      <c r="D7" s="111"/>
      <c r="E7" s="111"/>
      <c r="F7" s="110"/>
      <c r="G7" s="111"/>
      <c r="H7" s="110"/>
      <c r="I7" s="110"/>
    </row>
    <row r="8" spans="1:9" x14ac:dyDescent="0.25">
      <c r="A8" s="413" t="s">
        <v>937</v>
      </c>
      <c r="B8" s="421">
        <f>B6*B7</f>
        <v>0</v>
      </c>
      <c r="C8" s="111"/>
      <c r="D8" s="111"/>
      <c r="E8" s="111"/>
      <c r="F8" s="110"/>
      <c r="G8" s="111"/>
      <c r="H8" s="110"/>
      <c r="I8" s="110"/>
    </row>
    <row r="9" spans="1:9" ht="15.75" thickBot="1" x14ac:dyDescent="0.3">
      <c r="A9" s="41"/>
      <c r="B9" s="113"/>
      <c r="C9" s="111"/>
      <c r="D9" s="111"/>
      <c r="E9" s="111"/>
      <c r="F9" s="110"/>
      <c r="G9" s="111"/>
      <c r="H9" s="110"/>
      <c r="I9" s="110"/>
    </row>
    <row r="10" spans="1:9" ht="24" thickBot="1" x14ac:dyDescent="0.4">
      <c r="A10" s="176"/>
      <c r="B10" s="243">
        <f>'Respondent Information'!C6</f>
        <v>0</v>
      </c>
    </row>
    <row r="11" spans="1:9" ht="15.75" thickBot="1" x14ac:dyDescent="0.3">
      <c r="A11" s="646" t="s">
        <v>137</v>
      </c>
      <c r="B11" s="248">
        <f>'Respondent Information'!E6</f>
        <v>0</v>
      </c>
    </row>
    <row r="12" spans="1:9" ht="15.75" thickBot="1" x14ac:dyDescent="0.3">
      <c r="A12" s="600" t="s">
        <v>407</v>
      </c>
      <c r="B12" s="619">
        <f>IF(ISBLANK('Respondent Information'!M5),IF(ISBLANK('Respondent Information'!K5), 'Respondent Information'!I5, 'Respondent Information'!K5), 'Respondent Information'!M5)</f>
        <v>0</v>
      </c>
    </row>
    <row r="13" spans="1:9" ht="23.25" customHeight="1" thickBot="1" x14ac:dyDescent="0.4">
      <c r="A13" s="1483" t="s">
        <v>938</v>
      </c>
      <c r="B13" s="1484"/>
    </row>
    <row r="14" spans="1:9" ht="23.25" customHeight="1" thickBot="1" x14ac:dyDescent="0.3">
      <c r="A14" s="163"/>
      <c r="B14" s="372" t="s">
        <v>939</v>
      </c>
    </row>
    <row r="15" spans="1:9" x14ac:dyDescent="0.25">
      <c r="A15" s="73" t="s">
        <v>940</v>
      </c>
      <c r="B15" s="565"/>
    </row>
    <row r="16" spans="1:9" x14ac:dyDescent="0.25">
      <c r="A16" s="120" t="s">
        <v>941</v>
      </c>
      <c r="B16" s="696"/>
    </row>
    <row r="17" spans="1:2" x14ac:dyDescent="0.25">
      <c r="A17" s="177" t="s">
        <v>942</v>
      </c>
      <c r="B17" s="373">
        <f>IF(ISERROR(B16/B15), 0, (B16/B15))</f>
        <v>0</v>
      </c>
    </row>
    <row r="18" spans="1:2" x14ac:dyDescent="0.25">
      <c r="A18" s="73" t="s">
        <v>943</v>
      </c>
      <c r="B18" s="374"/>
    </row>
    <row r="19" spans="1:2" x14ac:dyDescent="0.25">
      <c r="A19" s="120" t="s">
        <v>944</v>
      </c>
      <c r="B19" s="696"/>
    </row>
    <row r="20" spans="1:2" x14ac:dyDescent="0.25">
      <c r="A20" s="177" t="s">
        <v>945</v>
      </c>
      <c r="B20" s="696"/>
    </row>
    <row r="21" spans="1:2" x14ac:dyDescent="0.25">
      <c r="A21" s="177" t="s">
        <v>946</v>
      </c>
      <c r="B21" s="373">
        <f>IF(ISERROR(B20/B19), 0, B20/B19)</f>
        <v>0</v>
      </c>
    </row>
    <row r="22" spans="1:2" x14ac:dyDescent="0.25">
      <c r="A22" s="120" t="s">
        <v>947</v>
      </c>
      <c r="B22" s="696"/>
    </row>
    <row r="23" spans="1:2" x14ac:dyDescent="0.25">
      <c r="A23" s="177" t="s">
        <v>948</v>
      </c>
      <c r="B23" s="696"/>
    </row>
    <row r="24" spans="1:2" x14ac:dyDescent="0.25">
      <c r="A24" s="177" t="s">
        <v>949</v>
      </c>
      <c r="B24" s="373">
        <f>IF(ISERROR(B23/B22), 0, B23/B22)</f>
        <v>0</v>
      </c>
    </row>
    <row r="25" spans="1:2" x14ac:dyDescent="0.25">
      <c r="A25" s="73" t="s">
        <v>950</v>
      </c>
      <c r="B25" s="374"/>
    </row>
    <row r="26" spans="1:2" x14ac:dyDescent="0.25">
      <c r="A26" s="120" t="s">
        <v>951</v>
      </c>
      <c r="B26" s="696"/>
    </row>
    <row r="27" spans="1:2" x14ac:dyDescent="0.25">
      <c r="A27" s="177" t="s">
        <v>952</v>
      </c>
      <c r="B27" s="696"/>
    </row>
    <row r="28" spans="1:2" x14ac:dyDescent="0.25">
      <c r="A28" s="177" t="s">
        <v>953</v>
      </c>
      <c r="B28" s="373">
        <f>IF(ISERROR(B27/B26), 0, B27/B26)</f>
        <v>0</v>
      </c>
    </row>
    <row r="29" spans="1:2" x14ac:dyDescent="0.25">
      <c r="A29" s="120" t="s">
        <v>954</v>
      </c>
      <c r="B29" s="696"/>
    </row>
    <row r="30" spans="1:2" x14ac:dyDescent="0.25">
      <c r="A30" s="177" t="s">
        <v>955</v>
      </c>
      <c r="B30" s="696"/>
    </row>
    <row r="31" spans="1:2" x14ac:dyDescent="0.25">
      <c r="A31" s="177" t="s">
        <v>956</v>
      </c>
      <c r="B31" s="373">
        <f>IF(ISERROR(B30/B29), 0, B30/B29)</f>
        <v>0</v>
      </c>
    </row>
    <row r="32" spans="1:2" x14ac:dyDescent="0.25">
      <c r="A32" s="120" t="s">
        <v>957</v>
      </c>
      <c r="B32" s="696"/>
    </row>
    <row r="33" spans="1:2" x14ac:dyDescent="0.25">
      <c r="A33" s="177" t="s">
        <v>958</v>
      </c>
      <c r="B33" s="696"/>
    </row>
    <row r="34" spans="1:2" x14ac:dyDescent="0.25">
      <c r="A34" s="177" t="s">
        <v>959</v>
      </c>
      <c r="B34" s="373">
        <f>IF(ISERROR(B33/B32), 0, B33/B32)</f>
        <v>0</v>
      </c>
    </row>
    <row r="35" spans="1:2" x14ac:dyDescent="0.25">
      <c r="A35" s="120" t="s">
        <v>960</v>
      </c>
      <c r="B35" s="696"/>
    </row>
    <row r="36" spans="1:2" x14ac:dyDescent="0.25">
      <c r="A36" s="177" t="s">
        <v>961</v>
      </c>
      <c r="B36" s="636"/>
    </row>
    <row r="37" spans="1:2" ht="15.75" thickBot="1" x14ac:dyDescent="0.3">
      <c r="A37" s="177" t="s">
        <v>962</v>
      </c>
      <c r="B37" s="373">
        <f>IF(ISERROR(B36/B35), 0, B36/B35)</f>
        <v>0</v>
      </c>
    </row>
    <row r="38" spans="1:2" ht="21.75" customHeight="1" thickBot="1" x14ac:dyDescent="0.3">
      <c r="A38" s="163"/>
      <c r="B38" s="372" t="s">
        <v>963</v>
      </c>
    </row>
    <row r="39" spans="1:2" x14ac:dyDescent="0.25">
      <c r="A39" s="74" t="s">
        <v>964</v>
      </c>
      <c r="B39" s="565"/>
    </row>
    <row r="40" spans="1:2" x14ac:dyDescent="0.25">
      <c r="A40" s="74" t="s">
        <v>965</v>
      </c>
      <c r="B40" s="696"/>
    </row>
    <row r="41" spans="1:2" x14ac:dyDescent="0.25">
      <c r="A41" s="120" t="s">
        <v>966</v>
      </c>
      <c r="B41" s="373">
        <f>IF(ISERROR(B40/B39), 0, B40/B39)</f>
        <v>0</v>
      </c>
    </row>
    <row r="42" spans="1:2" x14ac:dyDescent="0.25">
      <c r="A42" s="74" t="s">
        <v>967</v>
      </c>
      <c r="B42" s="696"/>
    </row>
    <row r="43" spans="1:2" x14ac:dyDescent="0.25">
      <c r="A43" s="120" t="s">
        <v>968</v>
      </c>
      <c r="B43" s="373">
        <f>IF(ISERROR(B42/B39), 0, B42/B39)</f>
        <v>0</v>
      </c>
    </row>
    <row r="44" spans="1:2" x14ac:dyDescent="0.25">
      <c r="A44" s="74" t="s">
        <v>969</v>
      </c>
      <c r="B44" s="696"/>
    </row>
    <row r="45" spans="1:2" ht="15.75" thickBot="1" x14ac:dyDescent="0.3">
      <c r="A45" s="175" t="s">
        <v>970</v>
      </c>
      <c r="B45" s="375">
        <f>IF(ISERROR(B44/B39), 0, B44/B39)</f>
        <v>0</v>
      </c>
    </row>
    <row r="46" spans="1:2" ht="21.75" customHeight="1" thickBot="1" x14ac:dyDescent="0.4">
      <c r="A46" s="1483" t="s">
        <v>971</v>
      </c>
      <c r="B46" s="1484"/>
    </row>
    <row r="47" spans="1:2" x14ac:dyDescent="0.25">
      <c r="A47" s="174" t="s">
        <v>972</v>
      </c>
      <c r="B47" s="565"/>
    </row>
    <row r="48" spans="1:2" x14ac:dyDescent="0.25">
      <c r="A48" s="120" t="s">
        <v>973</v>
      </c>
      <c r="B48" s="696"/>
    </row>
    <row r="49" spans="1:4" x14ac:dyDescent="0.25">
      <c r="A49" s="177" t="s">
        <v>974</v>
      </c>
      <c r="B49" s="373">
        <f>IF(ISERROR(B48/B47), 0, B48/B47)</f>
        <v>0</v>
      </c>
    </row>
    <row r="50" spans="1:4" x14ac:dyDescent="0.25">
      <c r="A50" s="74" t="s">
        <v>975</v>
      </c>
      <c r="B50" s="696"/>
    </row>
    <row r="51" spans="1:4" x14ac:dyDescent="0.25">
      <c r="A51" s="120" t="s">
        <v>976</v>
      </c>
      <c r="B51" s="696"/>
    </row>
    <row r="52" spans="1:4" ht="15.75" thickBot="1" x14ac:dyDescent="0.3">
      <c r="A52" s="177" t="s">
        <v>977</v>
      </c>
      <c r="B52" s="375">
        <f>IF(ISERROR(B51/B50), 0, B51/B50)</f>
        <v>0</v>
      </c>
    </row>
    <row r="53" spans="1:4" ht="21.75" thickBot="1" x14ac:dyDescent="0.4">
      <c r="A53" s="1483" t="s">
        <v>978</v>
      </c>
      <c r="B53" s="1484"/>
    </row>
    <row r="54" spans="1:4" x14ac:dyDescent="0.25">
      <c r="A54" s="174" t="s">
        <v>979</v>
      </c>
      <c r="B54" s="565"/>
    </row>
    <row r="55" spans="1:4" ht="16.5" customHeight="1" x14ac:dyDescent="0.25">
      <c r="A55" s="74" t="s">
        <v>980</v>
      </c>
      <c r="B55" s="696"/>
    </row>
    <row r="56" spans="1:4" ht="15.75" thickBot="1" x14ac:dyDescent="0.3">
      <c r="A56" s="121" t="s">
        <v>981</v>
      </c>
      <c r="B56" s="376">
        <f>IF(ISERROR(B55/B54), 0, B55/B54)</f>
        <v>0</v>
      </c>
    </row>
    <row r="57" spans="1:4" x14ac:dyDescent="0.25">
      <c r="A57" s="166"/>
    </row>
    <row r="58" spans="1:4" ht="21" x14ac:dyDescent="0.35">
      <c r="A58" s="1056" t="s">
        <v>117</v>
      </c>
      <c r="B58" s="1056"/>
    </row>
    <row r="59" spans="1:4" ht="14.25" customHeight="1" thickBot="1" x14ac:dyDescent="0.4">
      <c r="A59" s="644"/>
      <c r="B59" s="644"/>
    </row>
    <row r="60" spans="1:4" ht="23.25" x14ac:dyDescent="0.35">
      <c r="A60" s="1168">
        <f>B10</f>
        <v>0</v>
      </c>
      <c r="B60" s="1401"/>
      <c r="C60" s="1401"/>
      <c r="D60" s="1207"/>
    </row>
    <row r="61" spans="1:4" x14ac:dyDescent="0.25">
      <c r="A61" s="173" t="s">
        <v>18</v>
      </c>
      <c r="B61" s="150" t="s">
        <v>148</v>
      </c>
      <c r="C61" s="150" t="s">
        <v>149</v>
      </c>
      <c r="D61" s="172" t="s">
        <v>34</v>
      </c>
    </row>
    <row r="62" spans="1:4" ht="30" x14ac:dyDescent="0.25">
      <c r="A62" s="1140" t="s">
        <v>982</v>
      </c>
      <c r="B62" s="171" t="s">
        <v>983</v>
      </c>
      <c r="C62" s="702">
        <v>50</v>
      </c>
      <c r="D62" s="117">
        <f>IF(B17&gt;=0.9, 50, IF(B17&gt;0.7999, 25, 0))</f>
        <v>0</v>
      </c>
    </row>
    <row r="63" spans="1:4" ht="30" x14ac:dyDescent="0.25">
      <c r="A63" s="1140"/>
      <c r="B63" s="171" t="s">
        <v>984</v>
      </c>
      <c r="C63" s="702">
        <v>25</v>
      </c>
      <c r="D63" s="26">
        <f>IF(B21&gt;0.9499, 25, 0)</f>
        <v>0</v>
      </c>
    </row>
    <row r="64" spans="1:4" x14ac:dyDescent="0.25">
      <c r="A64" s="1140"/>
      <c r="B64" s="171" t="s">
        <v>985</v>
      </c>
      <c r="C64" s="702">
        <v>25</v>
      </c>
      <c r="D64" s="26">
        <f>IF(B24&gt;0.9499, 25,0)</f>
        <v>0</v>
      </c>
    </row>
    <row r="65" spans="1:4" x14ac:dyDescent="0.25">
      <c r="A65" s="1140"/>
      <c r="B65" s="171" t="s">
        <v>986</v>
      </c>
      <c r="C65" s="702">
        <v>25</v>
      </c>
      <c r="D65" s="26">
        <f>IF(B28&gt;0.9499,25,0)</f>
        <v>0</v>
      </c>
    </row>
    <row r="66" spans="1:4" x14ac:dyDescent="0.25">
      <c r="A66" s="1140"/>
      <c r="B66" s="171" t="s">
        <v>987</v>
      </c>
      <c r="C66" s="702">
        <v>25</v>
      </c>
      <c r="D66" s="117">
        <f>IF(B31&gt;0.9499, 25, 0)</f>
        <v>0</v>
      </c>
    </row>
    <row r="67" spans="1:4" ht="30" x14ac:dyDescent="0.25">
      <c r="A67" s="1140"/>
      <c r="B67" s="171" t="s">
        <v>988</v>
      </c>
      <c r="C67" s="702">
        <v>25</v>
      </c>
      <c r="D67" s="26">
        <f>IF(B34&gt;0.9499, 25, 0)</f>
        <v>0</v>
      </c>
    </row>
    <row r="68" spans="1:4" ht="30" x14ac:dyDescent="0.25">
      <c r="A68" s="1140"/>
      <c r="B68" s="171" t="s">
        <v>989</v>
      </c>
      <c r="C68" s="702">
        <v>25</v>
      </c>
      <c r="D68" s="26">
        <f>IF(B37&gt;0.9499, 25, 0)</f>
        <v>0</v>
      </c>
    </row>
    <row r="69" spans="1:4" x14ac:dyDescent="0.25">
      <c r="A69" s="1140" t="s">
        <v>990</v>
      </c>
      <c r="B69" s="702" t="s">
        <v>991</v>
      </c>
      <c r="C69" s="702">
        <v>50</v>
      </c>
      <c r="D69" s="26">
        <f>IF(B41&gt;=0.9, 50, IF(B41&gt;0.79, 25, 0))</f>
        <v>0</v>
      </c>
    </row>
    <row r="70" spans="1:4" x14ac:dyDescent="0.25">
      <c r="A70" s="1140"/>
      <c r="B70" s="702" t="s">
        <v>992</v>
      </c>
      <c r="C70" s="702">
        <v>25</v>
      </c>
      <c r="D70" s="26">
        <f>IF(B43&gt;0.9499, 25, 0)</f>
        <v>0</v>
      </c>
    </row>
    <row r="71" spans="1:4" x14ac:dyDescent="0.25">
      <c r="A71" s="1140"/>
      <c r="B71" s="702" t="s">
        <v>993</v>
      </c>
      <c r="C71" s="702">
        <v>25</v>
      </c>
      <c r="D71" s="26">
        <f>IF(B45&gt;0.9499, 25, 0)</f>
        <v>0</v>
      </c>
    </row>
    <row r="72" spans="1:4" x14ac:dyDescent="0.25">
      <c r="A72" s="658" t="s">
        <v>994</v>
      </c>
      <c r="B72" s="702" t="s">
        <v>995</v>
      </c>
      <c r="C72" s="702">
        <v>25</v>
      </c>
      <c r="D72" s="26">
        <f>IF(B49&gt;0.9799, 25, IF(B49&gt;0.9499, 20, IF(B49&gt;0.8999, 10, 0)))</f>
        <v>0</v>
      </c>
    </row>
    <row r="73" spans="1:4" x14ac:dyDescent="0.25">
      <c r="A73" s="658" t="s">
        <v>996</v>
      </c>
      <c r="B73" s="702" t="s">
        <v>995</v>
      </c>
      <c r="C73" s="702">
        <v>25</v>
      </c>
      <c r="D73" s="26">
        <f>IF(B52&gt;0.9799, 25, IF(B52&gt;0.9499, 20, IF(B52&gt;0.8999, 10, 0)))</f>
        <v>0</v>
      </c>
    </row>
    <row r="74" spans="1:4" x14ac:dyDescent="0.25">
      <c r="A74" s="658" t="s">
        <v>997</v>
      </c>
      <c r="B74" s="702" t="s">
        <v>998</v>
      </c>
      <c r="C74" s="702">
        <v>25</v>
      </c>
      <c r="D74" s="26">
        <f>IF(ISBLANK(B54), 0, IF(B56&gt;0.2099,0, IF(B56&gt;0.1099, 10, IF(B56&gt;0.0599, 20, 25))))</f>
        <v>0</v>
      </c>
    </row>
    <row r="75" spans="1:4" ht="15.75" thickBot="1" x14ac:dyDescent="0.3">
      <c r="A75" s="1482" t="s">
        <v>395</v>
      </c>
      <c r="B75" s="1393"/>
      <c r="C75" s="1393"/>
      <c r="D75" s="126">
        <f>SUM(D62:D74)</f>
        <v>0</v>
      </c>
    </row>
  </sheetData>
  <sheetProtection algorithmName="SHA-512" hashValue="FdU2hutpOG8RBnx1OcRbBtk+agx5WOKtOrnUpUX6IHN4rAa1+s6/t9oUGSSryAZyB9tDzeuZDWi59JTzWkKdFA==" saltValue="MjvsJ9S89gFSB34MNq4l7w==" spinCount="100000" sheet="1" objects="1" scenarios="1"/>
  <dataConsolidate/>
  <mergeCells count="8">
    <mergeCell ref="A62:A68"/>
    <mergeCell ref="A69:A71"/>
    <mergeCell ref="A75:C75"/>
    <mergeCell ref="A46:B46"/>
    <mergeCell ref="A13:B13"/>
    <mergeCell ref="A53:B53"/>
    <mergeCell ref="A58:B58"/>
    <mergeCell ref="A60:D60"/>
  </mergeCells>
  <dataValidations count="4">
    <dataValidation type="whole" allowBlank="1" showInputMessage="1" showErrorMessage="1" sqref="B22 B26 B29 B32 B35 B39 B15 B19 B47 B50 B54" xr:uid="{864BB996-EB06-469F-929B-4C2E644AF98D}">
      <formula1>0</formula1>
      <formula2>80000000000</formula2>
    </dataValidation>
    <dataValidation type="whole" operator="lessThanOrEqual" allowBlank="1" showInputMessage="1" showErrorMessage="1" sqref="B16 B20 B23 B27 B30 B33 B36 B40 B48 B51 B55" xr:uid="{69C992B9-D578-4109-8F5A-4B4751542935}">
      <formula1>B15</formula1>
    </dataValidation>
    <dataValidation type="whole" operator="lessThanOrEqual" allowBlank="1" showInputMessage="1" showErrorMessage="1" sqref="B42" xr:uid="{070A120A-6DAC-43D8-A137-27268E8E82DE}">
      <formula1>B39</formula1>
    </dataValidation>
    <dataValidation type="whole" operator="lessThanOrEqual" allowBlank="1" showInputMessage="1" showErrorMessage="1" sqref="B44" xr:uid="{B4C99879-2A39-4AA0-9EFE-15320C314D11}">
      <formula1>B39</formula1>
    </dataValidation>
  </dataValidations>
  <hyperlinks>
    <hyperlink ref="C1" location="'Respondent Information'!A1" display="Back to Respondent Information" xr:uid="{5EBC6F5B-8F5F-4786-AF9C-CE933CCAE74C}"/>
  </hyperlinks>
  <pageMargins left="0.7" right="0.7" top="0.75" bottom="0.75" header="0.3" footer="0.3"/>
  <pageSetup scale="54" fitToHeight="0" orientation="portrait" r:id="rId1"/>
  <headerFooter>
    <oddHeader>&amp;C&amp;"Arial,Bold"&amp;14EXHIBIT A-5-a-V3
SUBMISSION REQUIREMENTS AND EVALUATION RESPONSE TEMPLATE</oddHeader>
    <oddFooter>&amp;C&amp;"Arial,Bold"AHCA ITN 010-22/23, Attachment A, Exhibit A-5-a-V3, Page &amp;P of &amp;N</oddFooter>
  </headerFooter>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8E2EC-200B-42CB-8698-30F40E3AE4E8}">
  <sheetPr codeName="Sheet20">
    <tabColor rgb="FFFFC000"/>
  </sheetPr>
  <dimension ref="A1:J3"/>
  <sheetViews>
    <sheetView zoomScaleNormal="100" workbookViewId="0"/>
  </sheetViews>
  <sheetFormatPr defaultRowHeight="15" x14ac:dyDescent="0.25"/>
  <cols>
    <col min="9" max="9" width="15.7109375" customWidth="1"/>
    <col min="18" max="18" width="16" customWidth="1"/>
  </cols>
  <sheetData>
    <row r="1" spans="1:10" ht="23.25" x14ac:dyDescent="0.35">
      <c r="A1" s="691" t="s">
        <v>999</v>
      </c>
      <c r="B1" s="691"/>
      <c r="C1" s="691"/>
      <c r="D1" s="691"/>
      <c r="E1" s="691"/>
      <c r="F1" s="691"/>
      <c r="G1" s="691"/>
      <c r="H1" s="691"/>
      <c r="I1" s="691"/>
      <c r="J1" s="691" t="s">
        <v>999</v>
      </c>
    </row>
    <row r="2" spans="1:10" ht="20.25" customHeight="1" x14ac:dyDescent="0.35">
      <c r="A2" s="691"/>
      <c r="B2" s="691"/>
      <c r="C2" s="691"/>
      <c r="D2" s="691"/>
      <c r="E2" s="691"/>
      <c r="F2" s="691"/>
      <c r="G2" s="691"/>
      <c r="H2" s="691"/>
      <c r="I2" s="691"/>
      <c r="J2" s="691" t="s">
        <v>475</v>
      </c>
    </row>
    <row r="3" spans="1:10" ht="19.5" customHeight="1" x14ac:dyDescent="0.25">
      <c r="A3" s="1083" t="s">
        <v>82</v>
      </c>
      <c r="B3" s="1083"/>
      <c r="C3" s="1083"/>
      <c r="D3" s="1083"/>
    </row>
  </sheetData>
  <sheetProtection algorithmName="SHA-512" hashValue="RFolroK9EHAydRpd4U5psRJXKnZEo7K0l/ET0kxbqq0coW4/v6uP8gJf4gTW4Y0hLa3fCKVPCGKIxdYBKQupIA==" saltValue="ckMArSd/gWHv1xvqbxw7KA==" spinCount="100000" sheet="1" objects="1" scenarios="1"/>
  <mergeCells count="1">
    <mergeCell ref="A3:D3"/>
  </mergeCells>
  <hyperlinks>
    <hyperlink ref="A3" location="'Respondent Information'!A1" display="Back to Respondent Information" xr:uid="{8E0FF68A-4322-4105-BB66-5D2F5B4596F9}"/>
  </hyperlinks>
  <pageMargins left="0.7" right="0.7" top="0.75" bottom="0.75" header="0.3" footer="0.3"/>
  <pageSetup orientation="portrait" r:id="rId1"/>
  <headerFooter>
    <oddHeader>&amp;C&amp;"Arial,Bold"&amp;14EXHIBIT A-5-a-V3
SUBMISSION REQUIREMENTS AND EVALUATION RESPONSE TEMPLATE</oddHeader>
    <oddFooter>&amp;C&amp;"Arial,Bold"AHCA ITN 010-22/23, Attachment A, Exhibit A-5-a-V3, Page &amp;P of &amp;N</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B4C8C-B55E-4380-8539-DE7AE845E6AF}">
  <sheetPr codeName="Sheet12">
    <tabColor rgb="FFFFC000"/>
    <pageSetUpPr fitToPage="1"/>
  </sheetPr>
  <dimension ref="A1:T70"/>
  <sheetViews>
    <sheetView workbookViewId="0">
      <pane ySplit="12" topLeftCell="A13" activePane="bottomLeft" state="frozen"/>
      <selection sqref="A1:I2"/>
      <selection pane="bottomLeft"/>
    </sheetView>
  </sheetViews>
  <sheetFormatPr defaultRowHeight="15" x14ac:dyDescent="0.25"/>
  <cols>
    <col min="1" max="1" width="73.5703125" bestFit="1" customWidth="1"/>
    <col min="2" max="2" width="19.7109375" customWidth="1"/>
    <col min="3" max="3" width="19" customWidth="1"/>
    <col min="4" max="4" width="20.42578125" customWidth="1"/>
    <col min="5" max="5" width="21.85546875" bestFit="1" customWidth="1"/>
    <col min="6" max="6" width="17.28515625" hidden="1" customWidth="1"/>
    <col min="7" max="10" width="17.28515625" bestFit="1" customWidth="1"/>
    <col min="11" max="11" width="11.7109375" customWidth="1"/>
    <col min="12" max="20" width="9.140625" hidden="1" customWidth="1"/>
    <col min="21" max="26" width="9.140625" customWidth="1"/>
  </cols>
  <sheetData>
    <row r="1" spans="1:6" ht="23.25" x14ac:dyDescent="0.35">
      <c r="A1" s="691" t="s">
        <v>1000</v>
      </c>
      <c r="C1" s="643" t="s">
        <v>82</v>
      </c>
      <c r="D1" s="643"/>
      <c r="E1" s="643"/>
    </row>
    <row r="2" spans="1:6" ht="18" customHeight="1" x14ac:dyDescent="0.45">
      <c r="A2" s="14"/>
      <c r="C2" s="643"/>
      <c r="D2" s="643"/>
      <c r="E2" s="643"/>
    </row>
    <row r="3" spans="1:6" x14ac:dyDescent="0.25">
      <c r="A3" s="152" t="s">
        <v>84</v>
      </c>
      <c r="B3" s="153" t="s">
        <v>85</v>
      </c>
    </row>
    <row r="4" spans="1:6" x14ac:dyDescent="0.25">
      <c r="A4" s="693" t="s">
        <v>87</v>
      </c>
      <c r="B4" s="179">
        <v>141</v>
      </c>
    </row>
    <row r="5" spans="1:6" x14ac:dyDescent="0.25">
      <c r="A5" s="693" t="s">
        <v>88</v>
      </c>
      <c r="B5" s="693">
        <f>E56</f>
        <v>0</v>
      </c>
    </row>
    <row r="6" spans="1:6" x14ac:dyDescent="0.25">
      <c r="A6" s="693" t="s">
        <v>89</v>
      </c>
      <c r="B6" s="420">
        <f>B5/B4</f>
        <v>0</v>
      </c>
    </row>
    <row r="7" spans="1:6" x14ac:dyDescent="0.25">
      <c r="A7" s="693" t="s">
        <v>135</v>
      </c>
      <c r="B7" s="693">
        <v>150</v>
      </c>
    </row>
    <row r="8" spans="1:6" x14ac:dyDescent="0.25">
      <c r="A8" s="693" t="s">
        <v>1001</v>
      </c>
      <c r="B8" s="426">
        <f>B6*B7</f>
        <v>0</v>
      </c>
    </row>
    <row r="9" spans="1:6" ht="15.75" thickBot="1" x14ac:dyDescent="0.3">
      <c r="A9" s="41"/>
      <c r="B9" s="41"/>
    </row>
    <row r="10" spans="1:6" s="16" customFormat="1" ht="23.25" x14ac:dyDescent="0.35">
      <c r="A10" s="379"/>
      <c r="B10" s="1490">
        <f>'Respondent Information'!C6</f>
        <v>0</v>
      </c>
      <c r="C10" s="1491"/>
      <c r="D10" s="1492"/>
      <c r="F10" s="16" t="s">
        <v>1002</v>
      </c>
    </row>
    <row r="11" spans="1:6" s="16" customFormat="1" x14ac:dyDescent="0.25">
      <c r="A11" s="380" t="s">
        <v>137</v>
      </c>
      <c r="B11" s="1493">
        <f>'Respondent Information'!E6</f>
        <v>0</v>
      </c>
      <c r="C11" s="1494"/>
      <c r="D11" s="1495"/>
      <c r="F11" t="s">
        <v>1003</v>
      </c>
    </row>
    <row r="12" spans="1:6" x14ac:dyDescent="0.25">
      <c r="A12" s="381"/>
      <c r="B12" s="670">
        <f>'Respondent Information'!I5</f>
        <v>0</v>
      </c>
      <c r="C12" s="671">
        <f>'Respondent Information'!K5</f>
        <v>0</v>
      </c>
      <c r="D12" s="672">
        <f>'Respondent Information'!M5</f>
        <v>0</v>
      </c>
      <c r="F12" t="s">
        <v>1004</v>
      </c>
    </row>
    <row r="13" spans="1:6" x14ac:dyDescent="0.25">
      <c r="A13" s="380" t="s">
        <v>1005</v>
      </c>
      <c r="B13" s="377"/>
      <c r="C13" s="28"/>
      <c r="D13" s="378"/>
      <c r="F13" t="s">
        <v>1006</v>
      </c>
    </row>
    <row r="14" spans="1:6" x14ac:dyDescent="0.25">
      <c r="A14" s="382" t="s">
        <v>1007</v>
      </c>
      <c r="B14" s="519"/>
      <c r="C14" s="493"/>
      <c r="D14" s="520"/>
    </row>
    <row r="15" spans="1:6" x14ac:dyDescent="0.25">
      <c r="A15" s="380" t="s">
        <v>1008</v>
      </c>
      <c r="B15" s="519"/>
      <c r="C15" s="493"/>
      <c r="D15" s="520"/>
      <c r="F15" t="s">
        <v>1009</v>
      </c>
    </row>
    <row r="16" spans="1:6" x14ac:dyDescent="0.25">
      <c r="A16" s="380" t="s">
        <v>1010</v>
      </c>
      <c r="B16" s="519"/>
      <c r="C16" s="493"/>
      <c r="D16" s="520"/>
      <c r="F16" t="s">
        <v>1011</v>
      </c>
    </row>
    <row r="17" spans="1:6" x14ac:dyDescent="0.25">
      <c r="A17" s="380" t="s">
        <v>1012</v>
      </c>
      <c r="B17" s="377"/>
      <c r="C17" s="28"/>
      <c r="D17" s="378"/>
      <c r="F17" t="s">
        <v>1013</v>
      </c>
    </row>
    <row r="18" spans="1:6" x14ac:dyDescent="0.25">
      <c r="A18" s="382" t="s">
        <v>1014</v>
      </c>
      <c r="B18" s="519"/>
      <c r="C18" s="493"/>
      <c r="D18" s="520"/>
    </row>
    <row r="19" spans="1:6" x14ac:dyDescent="0.25">
      <c r="A19" s="382" t="s">
        <v>1015</v>
      </c>
      <c r="B19" s="549"/>
      <c r="C19" s="690"/>
      <c r="D19" s="550"/>
    </row>
    <row r="20" spans="1:6" x14ac:dyDescent="0.25">
      <c r="A20" s="382" t="s">
        <v>1016</v>
      </c>
      <c r="B20" s="549"/>
      <c r="C20" s="690"/>
      <c r="D20" s="550"/>
      <c r="F20" t="s">
        <v>1017</v>
      </c>
    </row>
    <row r="21" spans="1:6" x14ac:dyDescent="0.25">
      <c r="A21" s="380" t="s">
        <v>1018</v>
      </c>
      <c r="B21" s="377"/>
      <c r="C21" s="28"/>
      <c r="D21" s="378"/>
      <c r="F21" t="s">
        <v>1019</v>
      </c>
    </row>
    <row r="22" spans="1:6" x14ac:dyDescent="0.25">
      <c r="A22" s="382" t="s">
        <v>1020</v>
      </c>
      <c r="B22" s="519"/>
      <c r="C22" s="493"/>
      <c r="D22" s="520"/>
      <c r="F22" t="s">
        <v>1021</v>
      </c>
    </row>
    <row r="23" spans="1:6" x14ac:dyDescent="0.25">
      <c r="A23" s="382" t="s">
        <v>1022</v>
      </c>
      <c r="B23" s="519"/>
      <c r="C23" s="493"/>
      <c r="D23" s="520"/>
      <c r="F23" t="s">
        <v>1023</v>
      </c>
    </row>
    <row r="24" spans="1:6" x14ac:dyDescent="0.25">
      <c r="A24" s="382" t="s">
        <v>1024</v>
      </c>
      <c r="B24" s="519"/>
      <c r="C24" s="493"/>
      <c r="D24" s="520"/>
    </row>
    <row r="25" spans="1:6" x14ac:dyDescent="0.25">
      <c r="A25" s="382" t="s">
        <v>854</v>
      </c>
      <c r="B25" s="519"/>
      <c r="C25" s="493"/>
      <c r="D25" s="520"/>
      <c r="F25" t="s">
        <v>1004</v>
      </c>
    </row>
    <row r="26" spans="1:6" x14ac:dyDescent="0.25">
      <c r="A26" s="382" t="s">
        <v>1025</v>
      </c>
      <c r="B26" s="519"/>
      <c r="C26" s="493"/>
      <c r="D26" s="520"/>
      <c r="F26" t="s">
        <v>1026</v>
      </c>
    </row>
    <row r="27" spans="1:6" x14ac:dyDescent="0.25">
      <c r="A27" s="382" t="s">
        <v>1027</v>
      </c>
      <c r="B27" s="519"/>
      <c r="C27" s="493"/>
      <c r="D27" s="520"/>
      <c r="F27" t="s">
        <v>1028</v>
      </c>
    </row>
    <row r="28" spans="1:6" x14ac:dyDescent="0.25">
      <c r="A28" s="382" t="s">
        <v>1029</v>
      </c>
      <c r="B28" s="519"/>
      <c r="C28" s="493"/>
      <c r="D28" s="520"/>
    </row>
    <row r="29" spans="1:6" x14ac:dyDescent="0.25">
      <c r="A29" s="637" t="s">
        <v>1030</v>
      </c>
      <c r="B29" s="519"/>
      <c r="C29" s="493"/>
      <c r="D29" s="520"/>
    </row>
    <row r="30" spans="1:6" x14ac:dyDescent="0.25">
      <c r="A30" s="637" t="s">
        <v>1031</v>
      </c>
      <c r="B30" s="519"/>
      <c r="C30" s="493"/>
      <c r="D30" s="520"/>
    </row>
    <row r="31" spans="1:6" x14ac:dyDescent="0.25">
      <c r="A31" s="637" t="s">
        <v>1032</v>
      </c>
      <c r="B31" s="519"/>
      <c r="C31" s="493"/>
      <c r="D31" s="520"/>
    </row>
    <row r="32" spans="1:6" x14ac:dyDescent="0.25">
      <c r="A32" s="637" t="s">
        <v>1033</v>
      </c>
      <c r="B32" s="519"/>
      <c r="C32" s="493"/>
      <c r="D32" s="520"/>
    </row>
    <row r="33" spans="1:12" x14ac:dyDescent="0.25">
      <c r="A33" s="637" t="s">
        <v>1034</v>
      </c>
      <c r="B33" s="519"/>
      <c r="C33" s="493"/>
      <c r="D33" s="520"/>
    </row>
    <row r="34" spans="1:12" x14ac:dyDescent="0.25">
      <c r="A34" s="637" t="s">
        <v>1035</v>
      </c>
      <c r="B34" s="519"/>
      <c r="C34" s="493"/>
      <c r="D34" s="520"/>
    </row>
    <row r="35" spans="1:12" x14ac:dyDescent="0.25">
      <c r="A35" s="637" t="s">
        <v>1036</v>
      </c>
      <c r="B35" s="519"/>
      <c r="C35" s="493"/>
      <c r="D35" s="520"/>
    </row>
    <row r="36" spans="1:12" x14ac:dyDescent="0.25">
      <c r="A36" s="637" t="s">
        <v>1037</v>
      </c>
      <c r="B36" s="519"/>
      <c r="C36" s="493"/>
      <c r="D36" s="520"/>
    </row>
    <row r="37" spans="1:12" x14ac:dyDescent="0.25">
      <c r="A37" s="637" t="s">
        <v>1038</v>
      </c>
      <c r="B37" s="519"/>
      <c r="C37" s="493"/>
      <c r="D37" s="520"/>
    </row>
    <row r="38" spans="1:12" x14ac:dyDescent="0.25">
      <c r="A38" s="637" t="s">
        <v>1039</v>
      </c>
      <c r="B38" s="519"/>
      <c r="C38" s="493"/>
      <c r="D38" s="520"/>
    </row>
    <row r="39" spans="1:12" x14ac:dyDescent="0.25">
      <c r="A39" s="383" t="s">
        <v>1040</v>
      </c>
      <c r="B39" s="377"/>
      <c r="C39" s="28"/>
      <c r="D39" s="378"/>
      <c r="F39" t="s">
        <v>26</v>
      </c>
    </row>
    <row r="40" spans="1:12" x14ac:dyDescent="0.25">
      <c r="A40" s="382" t="s">
        <v>1041</v>
      </c>
      <c r="B40" s="549"/>
      <c r="C40" s="690"/>
      <c r="D40" s="550"/>
      <c r="F40" t="s">
        <v>28</v>
      </c>
    </row>
    <row r="41" spans="1:12" ht="15.75" thickBot="1" x14ac:dyDescent="0.3">
      <c r="A41" s="384" t="s">
        <v>1042</v>
      </c>
      <c r="B41" s="551"/>
      <c r="C41" s="498"/>
      <c r="D41" s="552"/>
    </row>
    <row r="43" spans="1:12" ht="21" x14ac:dyDescent="0.35">
      <c r="A43" s="1056" t="s">
        <v>117</v>
      </c>
      <c r="B43" s="1056"/>
      <c r="L43" t="s">
        <v>1043</v>
      </c>
    </row>
    <row r="44" spans="1:12" ht="21" x14ac:dyDescent="0.35">
      <c r="A44" s="680"/>
      <c r="B44" s="680"/>
      <c r="L44" t="s">
        <v>1044</v>
      </c>
    </row>
    <row r="45" spans="1:12" ht="23.25" x14ac:dyDescent="0.35">
      <c r="A45" s="1488">
        <f>B10</f>
        <v>0</v>
      </c>
      <c r="B45" s="1489"/>
      <c r="C45" s="1489"/>
      <c r="D45" s="1489"/>
      <c r="E45" s="1489"/>
      <c r="L45" t="s">
        <v>1045</v>
      </c>
    </row>
    <row r="46" spans="1:12" x14ac:dyDescent="0.25">
      <c r="A46" s="56" t="s">
        <v>84</v>
      </c>
      <c r="B46" s="68" t="s">
        <v>149</v>
      </c>
      <c r="C46" s="69" t="s">
        <v>1046</v>
      </c>
      <c r="D46" s="138" t="s">
        <v>1047</v>
      </c>
      <c r="E46" s="138" t="s">
        <v>1048</v>
      </c>
    </row>
    <row r="47" spans="1:12" x14ac:dyDescent="0.25">
      <c r="A47" s="57" t="s">
        <v>1005</v>
      </c>
      <c r="B47" s="58">
        <v>10</v>
      </c>
      <c r="C47" s="59">
        <f>IF(ISBLANK(B14), 0, IF(B14&lt;24, 10, IF(B14&lt;49, 5, 0)))</f>
        <v>0</v>
      </c>
      <c r="D47" s="59">
        <f>IF(ISBLANK(C14), 0, IF(C14&lt;24, 10, IF(C14&lt;49, 5, 0)))</f>
        <v>0</v>
      </c>
      <c r="E47" s="59">
        <f>IF(ISBLANK(D14), 0, IF(D14&lt;24, 10, IF(D14&lt;49, 5, 0)))</f>
        <v>0</v>
      </c>
    </row>
    <row r="48" spans="1:12" x14ac:dyDescent="0.25">
      <c r="A48" s="57" t="s">
        <v>1049</v>
      </c>
      <c r="B48" s="58">
        <v>5</v>
      </c>
      <c r="C48" s="59">
        <f t="shared" ref="C48:E49" si="0">IF(B15="At Least Daily", 5, IF(B15="At Least Weekly", 3, IF(B15="At Least Monthly", 1, 0)))</f>
        <v>0</v>
      </c>
      <c r="D48" s="59">
        <f t="shared" si="0"/>
        <v>0</v>
      </c>
      <c r="E48" s="59">
        <f t="shared" si="0"/>
        <v>0</v>
      </c>
    </row>
    <row r="49" spans="1:20" ht="15.75" thickBot="1" x14ac:dyDescent="0.3">
      <c r="A49" s="57" t="s">
        <v>1010</v>
      </c>
      <c r="B49" s="60">
        <v>5</v>
      </c>
      <c r="C49" s="61">
        <f t="shared" si="0"/>
        <v>0</v>
      </c>
      <c r="D49" s="61">
        <f t="shared" si="0"/>
        <v>0</v>
      </c>
      <c r="E49" s="61">
        <f t="shared" si="0"/>
        <v>0</v>
      </c>
    </row>
    <row r="50" spans="1:20" x14ac:dyDescent="0.25">
      <c r="A50" s="62" t="s">
        <v>1012</v>
      </c>
      <c r="B50" s="63"/>
      <c r="C50" s="28"/>
      <c r="D50" s="28"/>
      <c r="E50" s="28"/>
      <c r="L50" s="1485" t="s">
        <v>1050</v>
      </c>
      <c r="M50" s="1486"/>
      <c r="N50" s="1487"/>
      <c r="O50" s="1485"/>
      <c r="P50" s="1486"/>
      <c r="Q50" s="1487"/>
      <c r="R50" s="966"/>
      <c r="S50" s="966"/>
      <c r="T50" s="966"/>
    </row>
    <row r="51" spans="1:20" x14ac:dyDescent="0.25">
      <c r="A51" s="64" t="s">
        <v>1014</v>
      </c>
      <c r="B51" s="65">
        <v>5</v>
      </c>
      <c r="C51" s="66">
        <f>IF(B18="Regularly",5,0)</f>
        <v>0</v>
      </c>
      <c r="D51" s="66">
        <f>IF(C18="Regularly",5,0)</f>
        <v>0</v>
      </c>
      <c r="E51" s="66">
        <f>IF(D18="Regularly",5,0)</f>
        <v>0</v>
      </c>
      <c r="L51" s="84">
        <f t="shared" ref="L51:N55" si="1">IF(B22="Yes", 1, 0)</f>
        <v>0</v>
      </c>
      <c r="M51">
        <f t="shared" si="1"/>
        <v>0</v>
      </c>
      <c r="N51" s="136">
        <f t="shared" si="1"/>
        <v>0</v>
      </c>
      <c r="O51" s="84"/>
      <c r="Q51" s="136"/>
    </row>
    <row r="52" spans="1:20" x14ac:dyDescent="0.25">
      <c r="A52" s="64" t="s">
        <v>1015</v>
      </c>
      <c r="B52" s="58">
        <v>5</v>
      </c>
      <c r="C52" s="59">
        <f>IF(B19="Met with 5 or more Provider Associations ", 5, IF(B19="Met with 1-4 Provider Associations", 3, 0))</f>
        <v>0</v>
      </c>
      <c r="D52" s="59">
        <f>IF(C19="Met with 5 or more Provider Associations ", 5, IF(C19="Met with 1-4 Provider Associations", 3, 0))</f>
        <v>0</v>
      </c>
      <c r="E52" s="59">
        <f>IF(D19="Met with 5 or more Provider Associations ", 5, IF(D19="Met with 1-4 Provider Associations", 3, 0))</f>
        <v>0</v>
      </c>
      <c r="L52" s="84">
        <f t="shared" si="1"/>
        <v>0</v>
      </c>
      <c r="M52">
        <f t="shared" si="1"/>
        <v>0</v>
      </c>
      <c r="N52" s="136">
        <f t="shared" si="1"/>
        <v>0</v>
      </c>
      <c r="O52" s="84"/>
      <c r="Q52" s="136"/>
    </row>
    <row r="53" spans="1:20" x14ac:dyDescent="0.25">
      <c r="A53" s="64" t="s">
        <v>1016</v>
      </c>
      <c r="B53" s="58">
        <v>5</v>
      </c>
      <c r="C53" s="59">
        <f>IF(ISBLANK(B20), 0, IF(B20="At Least Monthly", 5, IF(B20="At Least Quarterly", 3, 1)))</f>
        <v>0</v>
      </c>
      <c r="D53" s="59">
        <f>IF(ISBLANK(C20), 0, IF(C20="At Least Monthly", 5, IF(C20="At Least Quarterly", 3, 1)))</f>
        <v>0</v>
      </c>
      <c r="E53" s="59">
        <f>IF(ISBLANK(D20), 0, IF(D20="At Least Monthly", 5, IF(D20="At Least Quarterly", 3, 1)))</f>
        <v>0</v>
      </c>
      <c r="L53" s="84">
        <f t="shared" si="1"/>
        <v>0</v>
      </c>
      <c r="M53">
        <f t="shared" si="1"/>
        <v>0</v>
      </c>
      <c r="N53" s="136">
        <f t="shared" si="1"/>
        <v>0</v>
      </c>
      <c r="O53" s="84"/>
      <c r="Q53" s="136"/>
    </row>
    <row r="54" spans="1:20" x14ac:dyDescent="0.25">
      <c r="A54" s="57" t="s">
        <v>1051</v>
      </c>
      <c r="B54" s="58">
        <v>5</v>
      </c>
      <c r="C54" s="59">
        <f>IF(L69=7, 5, IF(L69&gt;=5, 1, 0))</f>
        <v>0</v>
      </c>
      <c r="D54" s="59">
        <f>IF(M69=7, 5, IF(M69&gt;=5, 1, 0))</f>
        <v>0</v>
      </c>
      <c r="E54" s="59">
        <f>IF(N69=7, 5, IF(N69&gt;=5, 1, 0))</f>
        <v>0</v>
      </c>
      <c r="L54" s="84">
        <f t="shared" si="1"/>
        <v>0</v>
      </c>
      <c r="M54">
        <f t="shared" si="1"/>
        <v>0</v>
      </c>
      <c r="N54" s="136">
        <f t="shared" si="1"/>
        <v>0</v>
      </c>
      <c r="O54" s="84"/>
      <c r="Q54" s="136"/>
    </row>
    <row r="55" spans="1:20" x14ac:dyDescent="0.25">
      <c r="A55" s="67" t="s">
        <v>1052</v>
      </c>
      <c r="B55" s="58">
        <v>7</v>
      </c>
      <c r="C55" s="59">
        <f>IF(B40="At least 75% Training Provided Live or In-Person", 7, IF(B40="50-74.99% OF Training Provided Live or In-Person", 5, 0))</f>
        <v>0</v>
      </c>
      <c r="D55" s="59">
        <f>IF(C40="At least 75% Training Provided Live or In-Person", 7, IF(C40="50-74.99% OF Training Provided Live or In-Person", 5, 0))</f>
        <v>0</v>
      </c>
      <c r="E55" s="59">
        <f>IF(D40="At least 75% Training Provided Live or In-Person", 7, IF(D40="50-74.99% OF Training Provided Live or In-Person", 5, 0))</f>
        <v>0</v>
      </c>
      <c r="L55" s="84">
        <f t="shared" si="1"/>
        <v>0</v>
      </c>
      <c r="M55">
        <f t="shared" si="1"/>
        <v>0</v>
      </c>
      <c r="N55" s="136">
        <f t="shared" si="1"/>
        <v>0</v>
      </c>
      <c r="O55" s="84"/>
      <c r="Q55" s="136"/>
    </row>
    <row r="56" spans="1:20" x14ac:dyDescent="0.25">
      <c r="A56" s="1438" t="s">
        <v>128</v>
      </c>
      <c r="B56" s="1438"/>
      <c r="C56" s="1438"/>
      <c r="D56" s="1438"/>
      <c r="E56" s="647">
        <f>SUM(Table1[[Points Earned-Year 1]:[Points Earned-Year 3]])</f>
        <v>0</v>
      </c>
      <c r="L56" s="84"/>
      <c r="N56" s="136"/>
      <c r="O56" s="84"/>
      <c r="Q56" s="136"/>
    </row>
    <row r="57" spans="1:20" x14ac:dyDescent="0.25">
      <c r="L57" s="84">
        <f t="shared" ref="L57:N58" si="2">IF(B27="Yes", 1, 0)</f>
        <v>0</v>
      </c>
      <c r="M57">
        <f t="shared" si="2"/>
        <v>0</v>
      </c>
      <c r="N57" s="136">
        <f t="shared" si="2"/>
        <v>0</v>
      </c>
      <c r="O57" s="84"/>
      <c r="Q57" s="136"/>
    </row>
    <row r="58" spans="1:20" x14ac:dyDescent="0.25">
      <c r="L58" s="84">
        <f t="shared" si="2"/>
        <v>0</v>
      </c>
      <c r="M58">
        <f t="shared" si="2"/>
        <v>0</v>
      </c>
      <c r="N58" s="136">
        <f t="shared" si="2"/>
        <v>0</v>
      </c>
      <c r="O58" s="84"/>
      <c r="Q58" s="136"/>
    </row>
    <row r="59" spans="1:20" x14ac:dyDescent="0.25">
      <c r="L59" s="84"/>
      <c r="N59" s="136"/>
      <c r="O59" s="84"/>
      <c r="Q59" s="136"/>
    </row>
    <row r="60" spans="1:20" x14ac:dyDescent="0.25">
      <c r="L60" s="84"/>
      <c r="N60" s="136"/>
      <c r="O60" s="84"/>
      <c r="Q60" s="136"/>
    </row>
    <row r="61" spans="1:20" x14ac:dyDescent="0.25">
      <c r="L61" s="84"/>
      <c r="N61" s="136"/>
      <c r="O61" s="84"/>
      <c r="Q61" s="136"/>
    </row>
    <row r="62" spans="1:20" x14ac:dyDescent="0.25">
      <c r="L62" s="84"/>
      <c r="N62" s="136"/>
      <c r="O62" s="84"/>
      <c r="Q62" s="136"/>
    </row>
    <row r="63" spans="1:20" x14ac:dyDescent="0.25">
      <c r="L63" s="84"/>
      <c r="N63" s="136"/>
      <c r="O63" s="84"/>
      <c r="Q63" s="136"/>
    </row>
    <row r="64" spans="1:20" x14ac:dyDescent="0.25">
      <c r="L64" s="84"/>
      <c r="N64" s="136"/>
      <c r="O64" s="84"/>
      <c r="Q64" s="136"/>
    </row>
    <row r="65" spans="12:20" x14ac:dyDescent="0.25">
      <c r="L65" s="84"/>
      <c r="N65" s="136"/>
      <c r="O65" s="84"/>
      <c r="Q65" s="136"/>
    </row>
    <row r="66" spans="12:20" x14ac:dyDescent="0.25">
      <c r="L66" s="84"/>
      <c r="N66" s="136"/>
      <c r="O66" s="84"/>
      <c r="Q66" s="136"/>
    </row>
    <row r="67" spans="12:20" x14ac:dyDescent="0.25">
      <c r="L67" s="84"/>
      <c r="N67" s="136"/>
      <c r="O67" s="84"/>
      <c r="Q67" s="136"/>
    </row>
    <row r="68" spans="12:20" x14ac:dyDescent="0.25">
      <c r="L68" s="84"/>
      <c r="N68" s="136"/>
      <c r="O68" s="84"/>
      <c r="Q68" s="136"/>
    </row>
    <row r="69" spans="12:20" x14ac:dyDescent="0.25">
      <c r="L69" s="84">
        <f>SUM(L51:L68)</f>
        <v>0</v>
      </c>
      <c r="M69" s="84">
        <f t="shared" ref="M69:N69" si="3">SUM(M51:M68)</f>
        <v>0</v>
      </c>
      <c r="N69" s="84">
        <f t="shared" si="3"/>
        <v>0</v>
      </c>
      <c r="O69" s="84"/>
      <c r="P69" s="84"/>
      <c r="Q69" s="84"/>
      <c r="R69" s="84"/>
      <c r="S69" s="84"/>
      <c r="T69" s="84"/>
    </row>
    <row r="70" spans="12:20" x14ac:dyDescent="0.25">
      <c r="L70" s="84">
        <f>IF(L69&gt;=7, 5, IF(L69&gt;4, 1, 0))</f>
        <v>0</v>
      </c>
      <c r="M70" s="84">
        <f t="shared" ref="M70:N70" si="4">IF(M69&gt;=7, 5, IF(M69&gt;4, 1, 0))</f>
        <v>0</v>
      </c>
      <c r="N70" s="84">
        <f t="shared" si="4"/>
        <v>0</v>
      </c>
      <c r="O70" s="84"/>
      <c r="P70" s="84"/>
      <c r="Q70" s="84"/>
      <c r="R70" s="84"/>
      <c r="S70" s="84"/>
      <c r="T70" s="84"/>
    </row>
  </sheetData>
  <sheetProtection algorithmName="SHA-512" hashValue="fNv2m9ApOX8MlWhcIadAIIlIozfA+sXN2b5BrKtchUOLthvN4tj+PXDjUJQAv3WmQMCXRSxhFD9pcl0g6BWM9g==" saltValue="MuizEUW6WNt3ZL0XhpSrpQ==" spinCount="100000" sheet="1" objects="1" scenarios="1"/>
  <mergeCells count="8">
    <mergeCell ref="B10:D10"/>
    <mergeCell ref="A43:B43"/>
    <mergeCell ref="B11:D11"/>
    <mergeCell ref="O50:Q50"/>
    <mergeCell ref="R50:T50"/>
    <mergeCell ref="A56:D56"/>
    <mergeCell ref="A45:E45"/>
    <mergeCell ref="L50:N50"/>
  </mergeCells>
  <phoneticPr fontId="39" type="noConversion"/>
  <dataValidations count="6">
    <dataValidation type="list" allowBlank="1" showInputMessage="1" showErrorMessage="1" sqref="B18:D18" xr:uid="{B6005DA1-DF33-47A7-827F-D755F6A1B0A0}">
      <formula1>$F$15:$F$17</formula1>
    </dataValidation>
    <dataValidation type="list" allowBlank="1" showInputMessage="1" showErrorMessage="1" sqref="B19:D19" xr:uid="{4EDF86A8-42D0-4D17-96B5-7C558557DAD1}">
      <formula1>$F$21:$F$23</formula1>
    </dataValidation>
    <dataValidation type="list" allowBlank="1" showInputMessage="1" showErrorMessage="1" sqref="B20:D20 B41:D41" xr:uid="{C4658E45-552A-4BB8-985B-22206A76F853}">
      <formula1>$F$25:$F$27</formula1>
    </dataValidation>
    <dataValidation type="list" allowBlank="1" showInputMessage="1" showErrorMessage="1" sqref="B40:D40" xr:uid="{D28AF9FB-B805-4995-8776-80A9233B1CE3}">
      <formula1>$L$43:$L$45</formula1>
    </dataValidation>
    <dataValidation type="list" allowBlank="1" showInputMessage="1" showErrorMessage="1" sqref="B22:D38" xr:uid="{F058AB4E-82D9-4AB5-AB57-8BB2235DABCC}">
      <formula1>$F$39:$F$40</formula1>
    </dataValidation>
    <dataValidation type="list" allowBlank="1" showInputMessage="1" showErrorMessage="1" sqref="B15:D16" xr:uid="{658547FC-3E5D-4EB7-8196-943FA1670D6C}">
      <formula1>$F$10:$F$13</formula1>
    </dataValidation>
  </dataValidations>
  <hyperlinks>
    <hyperlink ref="C1:E2" location="'Respondent Information'!A1" display="Back to Respondent Information" xr:uid="{40DD451F-44A5-44E5-95A5-03DC42800687}"/>
  </hyperlinks>
  <pageMargins left="0.7" right="0.7" top="0.75" bottom="0.75" header="0.3" footer="0.3"/>
  <pageSetup scale="58" fitToHeight="0" orientation="portrait" r:id="rId1"/>
  <headerFooter>
    <oddHeader>&amp;C&amp;"Arial,Bold"&amp;14EXHIBIT A-5-a-V3
SUBMISSION REQUIREMENTS AND EVALUATION RESPONSE TEMPLATE</oddHeader>
    <oddFooter>&amp;C&amp;"Arial,Bold"AHCA ITN 010-22/23, Attachment A, Exhibit A-5-a-V3, Page &amp;P of &amp;N</oddFooter>
  </headerFooter>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23475-3CD7-4418-B126-92B071844608}">
  <sheetPr codeName="Sheet34">
    <tabColor rgb="FF3F3F76"/>
  </sheetPr>
  <dimension ref="A1:K3"/>
  <sheetViews>
    <sheetView zoomScaleNormal="100" workbookViewId="0"/>
  </sheetViews>
  <sheetFormatPr defaultRowHeight="15" x14ac:dyDescent="0.25"/>
  <cols>
    <col min="1" max="1" width="9.140625" customWidth="1"/>
    <col min="3" max="3" width="13.28515625" customWidth="1"/>
    <col min="9" max="9" width="16.28515625" customWidth="1"/>
  </cols>
  <sheetData>
    <row r="1" spans="1:11" ht="23.25" x14ac:dyDescent="0.35">
      <c r="A1" s="416" t="s">
        <v>1053</v>
      </c>
      <c r="B1" s="691"/>
      <c r="C1" s="691"/>
      <c r="D1" s="691"/>
      <c r="E1" s="691"/>
      <c r="F1" s="691"/>
      <c r="G1" s="691"/>
      <c r="H1" s="691"/>
      <c r="I1" s="416" t="s">
        <v>1053</v>
      </c>
      <c r="K1" s="691"/>
    </row>
    <row r="2" spans="1:11" ht="21" x14ac:dyDescent="0.35">
      <c r="A2" s="416" t="s">
        <v>133</v>
      </c>
      <c r="I2" s="416" t="s">
        <v>936</v>
      </c>
    </row>
    <row r="3" spans="1:11" ht="24" customHeight="1" x14ac:dyDescent="0.25">
      <c r="A3" s="1496" t="s">
        <v>82</v>
      </c>
      <c r="B3" s="1496"/>
      <c r="C3" s="1496"/>
    </row>
  </sheetData>
  <sheetProtection algorithmName="SHA-512" hashValue="TOVsQJXKziW9UN9YM19RAFefM9JNGXHqV3/zmTnssA6lvj/mRVsvR3MS/5Ma4hfZMAZGsItd2BY5jURiRolnMg==" saltValue="zf9za7r9rAvkybrmj+POjA==" spinCount="100000" sheet="1" objects="1" scenarios="1"/>
  <mergeCells count="1">
    <mergeCell ref="A3:C3"/>
  </mergeCells>
  <hyperlinks>
    <hyperlink ref="A3" location="'Respondent Information'!A1" display="Back to Respondent Information" xr:uid="{EAB96C46-60F2-4682-BF59-B3EE2EF1D5CB}"/>
  </hyperlinks>
  <pageMargins left="0.7" right="0.7" top="0.75" bottom="0.75" header="0.3" footer="0.3"/>
  <pageSetup orientation="portrait" r:id="rId1"/>
  <headerFooter>
    <oddHeader>&amp;C&amp;"Arial,Bold"&amp;14EXHIBIT A-5-a-V3
SUBMISSION REQUIREMENTS AND EVALUATION RESPONSE TEMPLATE</oddHeader>
    <oddFooter>&amp;C&amp;"Arial,Bold"AHCA ITN 010-22/23, Attachment A, Exhibit A-5-a-V3, Page &amp;P of &amp;N</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C20AE-B1BB-47CF-A600-374B218B6A19}">
  <sheetPr codeName="Sheet6">
    <tabColor rgb="FF3F3F76"/>
    <pageSetUpPr fitToPage="1"/>
  </sheetPr>
  <dimension ref="A1:R81"/>
  <sheetViews>
    <sheetView zoomScaleNormal="100" workbookViewId="0"/>
  </sheetViews>
  <sheetFormatPr defaultRowHeight="15" x14ac:dyDescent="0.25"/>
  <cols>
    <col min="1" max="1" width="81.140625" bestFit="1" customWidth="1"/>
    <col min="2" max="2" width="51.85546875" customWidth="1"/>
    <col min="3" max="3" width="18.42578125" customWidth="1"/>
    <col min="4" max="4" width="21.42578125" customWidth="1"/>
    <col min="5" max="5" width="17.5703125" customWidth="1"/>
    <col min="6" max="6" width="17.28515625" customWidth="1"/>
    <col min="7" max="7" width="16.5703125" customWidth="1"/>
    <col min="18" max="18" width="0" hidden="1" customWidth="1"/>
  </cols>
  <sheetData>
    <row r="1" spans="1:18" ht="23.25" x14ac:dyDescent="0.35">
      <c r="A1" s="691" t="s">
        <v>1054</v>
      </c>
      <c r="D1" s="643" t="s">
        <v>82</v>
      </c>
    </row>
    <row r="2" spans="1:18" ht="28.5" x14ac:dyDescent="0.45">
      <c r="A2" s="14"/>
    </row>
    <row r="3" spans="1:18" x14ac:dyDescent="0.25">
      <c r="A3" s="692" t="s">
        <v>1055</v>
      </c>
      <c r="B3" s="692" t="s">
        <v>85</v>
      </c>
    </row>
    <row r="4" spans="1:18" x14ac:dyDescent="0.25">
      <c r="A4" s="693" t="s">
        <v>87</v>
      </c>
      <c r="B4" s="179">
        <v>210</v>
      </c>
    </row>
    <row r="5" spans="1:18" x14ac:dyDescent="0.25">
      <c r="A5" s="693" t="s">
        <v>88</v>
      </c>
      <c r="B5" s="179">
        <f>D81</f>
        <v>0</v>
      </c>
      <c r="C5" s="113"/>
      <c r="D5" s="17"/>
    </row>
    <row r="6" spans="1:18" x14ac:dyDescent="0.25">
      <c r="A6" s="413" t="s">
        <v>89</v>
      </c>
      <c r="B6" s="420">
        <f>B5/B4</f>
        <v>0</v>
      </c>
      <c r="C6" s="113"/>
      <c r="D6" s="17"/>
    </row>
    <row r="7" spans="1:18" x14ac:dyDescent="0.25">
      <c r="A7" s="413" t="s">
        <v>135</v>
      </c>
      <c r="B7" s="414">
        <v>100</v>
      </c>
      <c r="C7" s="113"/>
      <c r="D7" s="17"/>
    </row>
    <row r="8" spans="1:18" x14ac:dyDescent="0.25">
      <c r="A8" s="413" t="s">
        <v>1056</v>
      </c>
      <c r="B8" s="421">
        <f>B6*B7</f>
        <v>0</v>
      </c>
      <c r="C8" s="113"/>
      <c r="D8" s="17"/>
    </row>
    <row r="10" spans="1:18" ht="23.25" x14ac:dyDescent="0.35">
      <c r="A10" s="647" t="s">
        <v>18</v>
      </c>
      <c r="B10" s="1403">
        <f>'Respondent Information'!C6</f>
        <v>0</v>
      </c>
      <c r="C10" s="1403"/>
      <c r="D10" s="1497">
        <f>'Respondent Information'!C9</f>
        <v>0</v>
      </c>
      <c r="E10" s="1497"/>
      <c r="F10" s="1403">
        <f>'Respondent Information'!C12</f>
        <v>0</v>
      </c>
      <c r="G10" s="1403"/>
      <c r="R10" t="s">
        <v>26</v>
      </c>
    </row>
    <row r="11" spans="1:18" x14ac:dyDescent="0.25">
      <c r="A11" s="647" t="s">
        <v>20</v>
      </c>
      <c r="B11" s="1498">
        <f>'Respondent Information'!E6</f>
        <v>0</v>
      </c>
      <c r="C11" s="1498"/>
      <c r="D11" s="1499">
        <f>'Respondent Information'!E9</f>
        <v>0</v>
      </c>
      <c r="E11" s="1499"/>
      <c r="F11" s="1498">
        <f>'Respondent Information'!E12</f>
        <v>0</v>
      </c>
      <c r="G11" s="1498"/>
      <c r="R11" t="s">
        <v>28</v>
      </c>
    </row>
    <row r="12" spans="1:18" x14ac:dyDescent="0.25">
      <c r="A12" s="737" t="s">
        <v>1186</v>
      </c>
      <c r="B12" s="1501" t="s">
        <v>1057</v>
      </c>
      <c r="C12" s="1502"/>
      <c r="D12" s="1501" t="s">
        <v>1057</v>
      </c>
      <c r="E12" s="1502"/>
      <c r="F12" s="1501" t="s">
        <v>1057</v>
      </c>
      <c r="G12" s="1502"/>
    </row>
    <row r="13" spans="1:18" x14ac:dyDescent="0.25">
      <c r="A13" s="738" t="s">
        <v>1285</v>
      </c>
      <c r="B13" s="1503">
        <f>SUM(B14,B16)</f>
        <v>0</v>
      </c>
      <c r="C13" s="1504"/>
      <c r="D13" s="1503">
        <f>SUM(D14,D16)</f>
        <v>0</v>
      </c>
      <c r="E13" s="1504"/>
      <c r="F13" s="1503">
        <f>SUM(F14,F16)</f>
        <v>0</v>
      </c>
      <c r="G13" s="1504"/>
    </row>
    <row r="14" spans="1:18" x14ac:dyDescent="0.25">
      <c r="A14" s="740" t="s">
        <v>1187</v>
      </c>
      <c r="B14" s="1500"/>
      <c r="C14" s="1500"/>
      <c r="D14" s="1500"/>
      <c r="E14" s="1500"/>
      <c r="F14" s="1500"/>
      <c r="G14" s="1500"/>
    </row>
    <row r="15" spans="1:18" x14ac:dyDescent="0.25">
      <c r="A15" s="741" t="s">
        <v>1198</v>
      </c>
      <c r="B15" s="1500"/>
      <c r="C15" s="1500"/>
      <c r="D15" s="1500"/>
      <c r="E15" s="1500"/>
      <c r="F15" s="1500"/>
      <c r="G15" s="1500"/>
    </row>
    <row r="16" spans="1:18" x14ac:dyDescent="0.25">
      <c r="A16" s="740" t="s">
        <v>1188</v>
      </c>
      <c r="B16" s="1500"/>
      <c r="C16" s="1500"/>
      <c r="D16" s="1500"/>
      <c r="E16" s="1500"/>
      <c r="F16" s="1500"/>
      <c r="G16" s="1500"/>
    </row>
    <row r="17" spans="1:7" x14ac:dyDescent="0.25">
      <c r="A17" s="742" t="s">
        <v>1286</v>
      </c>
      <c r="B17" s="1505">
        <f>SUM(B18, B20)</f>
        <v>0</v>
      </c>
      <c r="C17" s="1505"/>
      <c r="D17" s="1505">
        <f>SUM(D18,D20)</f>
        <v>0</v>
      </c>
      <c r="E17" s="1505"/>
      <c r="F17" s="1505">
        <f>SUM(F18, F20)</f>
        <v>0</v>
      </c>
      <c r="G17" s="1505"/>
    </row>
    <row r="18" spans="1:7" x14ac:dyDescent="0.25">
      <c r="A18" s="740" t="s">
        <v>1187</v>
      </c>
      <c r="B18" s="1500"/>
      <c r="C18" s="1500"/>
      <c r="D18" s="1500"/>
      <c r="E18" s="1500"/>
      <c r="F18" s="1500"/>
      <c r="G18" s="1500"/>
    </row>
    <row r="19" spans="1:7" x14ac:dyDescent="0.25">
      <c r="A19" s="739" t="s">
        <v>1198</v>
      </c>
      <c r="B19" s="1509"/>
      <c r="C19" s="1510"/>
      <c r="D19" s="1509"/>
      <c r="E19" s="1510"/>
      <c r="F19" s="1509"/>
      <c r="G19" s="1510"/>
    </row>
    <row r="20" spans="1:7" x14ac:dyDescent="0.25">
      <c r="A20" s="740" t="s">
        <v>1188</v>
      </c>
      <c r="B20" s="1500"/>
      <c r="C20" s="1500"/>
      <c r="D20" s="1500"/>
      <c r="E20" s="1500"/>
      <c r="F20" s="1500"/>
      <c r="G20" s="1500"/>
    </row>
    <row r="21" spans="1:7" x14ac:dyDescent="0.25">
      <c r="A21" s="742" t="s">
        <v>1287</v>
      </c>
      <c r="B21" s="1505">
        <f>SUM(B22:C24)</f>
        <v>0</v>
      </c>
      <c r="C21" s="1505"/>
      <c r="D21" s="1505">
        <f>SUM(D22:E24)</f>
        <v>0</v>
      </c>
      <c r="E21" s="1505"/>
      <c r="F21" s="1505">
        <f>SUM(F22:G24)</f>
        <v>0</v>
      </c>
      <c r="G21" s="1505"/>
    </row>
    <row r="22" spans="1:7" x14ac:dyDescent="0.25">
      <c r="A22" s="740" t="s">
        <v>1187</v>
      </c>
      <c r="B22" s="1506">
        <f>SUM(B14,B18)</f>
        <v>0</v>
      </c>
      <c r="C22" s="1506"/>
      <c r="D22" s="1506">
        <f>SUM(D14,D18)</f>
        <v>0</v>
      </c>
      <c r="E22" s="1506"/>
      <c r="F22" s="1506">
        <f>SUM(F14,F18)</f>
        <v>0</v>
      </c>
      <c r="G22" s="1506"/>
    </row>
    <row r="23" spans="1:7" x14ac:dyDescent="0.25">
      <c r="A23" s="740" t="s">
        <v>1188</v>
      </c>
      <c r="B23" s="1506">
        <f>SUM(B16,B20)</f>
        <v>0</v>
      </c>
      <c r="C23" s="1506"/>
      <c r="D23" s="1506">
        <f>SUM(D16,D20)</f>
        <v>0</v>
      </c>
      <c r="E23" s="1506"/>
      <c r="F23" s="1506">
        <f>SUM(F16,F20)</f>
        <v>0</v>
      </c>
      <c r="G23" s="1506"/>
    </row>
    <row r="24" spans="1:7" x14ac:dyDescent="0.25">
      <c r="A24" s="740" t="s">
        <v>1189</v>
      </c>
      <c r="B24" s="1500"/>
      <c r="C24" s="1500"/>
      <c r="D24" s="1500"/>
      <c r="E24" s="1500"/>
      <c r="F24" s="1500"/>
      <c r="G24" s="1500"/>
    </row>
    <row r="25" spans="1:7" x14ac:dyDescent="0.25">
      <c r="A25" s="15" t="s">
        <v>1283</v>
      </c>
      <c r="B25" s="752" t="s">
        <v>1057</v>
      </c>
      <c r="C25" s="708" t="s">
        <v>36</v>
      </c>
      <c r="D25" s="752" t="s">
        <v>1057</v>
      </c>
      <c r="E25" s="708" t="s">
        <v>36</v>
      </c>
      <c r="F25" s="752" t="s">
        <v>1057</v>
      </c>
      <c r="G25" s="708" t="s">
        <v>36</v>
      </c>
    </row>
    <row r="26" spans="1:7" x14ac:dyDescent="0.25">
      <c r="A26" s="743" t="s">
        <v>1190</v>
      </c>
      <c r="B26" s="510"/>
      <c r="C26" s="760" t="str">
        <f>IF(ISERROR(B26/B14), "-", B26/B14)</f>
        <v>-</v>
      </c>
      <c r="D26" s="510"/>
      <c r="E26" s="760" t="str">
        <f>IF(ISERROR(D26/D14), "-", D26/D14)</f>
        <v>-</v>
      </c>
      <c r="F26" s="510"/>
      <c r="G26" s="764" t="str">
        <f>IF(ISERROR(F26/F14), "-", F26/F14)</f>
        <v>-</v>
      </c>
    </row>
    <row r="27" spans="1:7" ht="39" x14ac:dyDescent="0.25">
      <c r="A27" s="744" t="s">
        <v>1185</v>
      </c>
      <c r="B27" s="510"/>
      <c r="C27" s="761" t="str">
        <f>IF(ISERROR(B27/B15), "-", B27/B15)</f>
        <v>-</v>
      </c>
      <c r="D27" s="510"/>
      <c r="E27" s="761" t="str">
        <f>IF(ISERROR(D27/D15), "-", D27/D15)</f>
        <v>-</v>
      </c>
      <c r="F27" s="510"/>
      <c r="G27" s="761" t="str">
        <f>IF(ISERROR(F27/F15), "-", F27/F15)</f>
        <v>-</v>
      </c>
    </row>
    <row r="28" spans="1:7" x14ac:dyDescent="0.25">
      <c r="A28" s="745" t="s">
        <v>1209</v>
      </c>
      <c r="B28" s="510"/>
      <c r="C28" s="760" t="str">
        <f>IF(ISERROR(B28/B14), "-", B28/B14)</f>
        <v>-</v>
      </c>
      <c r="D28" s="510"/>
      <c r="E28" s="760" t="str">
        <f>IF(ISERROR(D28/D14), "-", D28/D14)</f>
        <v>-</v>
      </c>
      <c r="F28" s="510"/>
      <c r="G28" s="764" t="str">
        <f>IF(ISERROR(F28/F14), "-", F28/F14)</f>
        <v>-</v>
      </c>
    </row>
    <row r="29" spans="1:7" ht="39" x14ac:dyDescent="0.25">
      <c r="A29" s="744" t="s">
        <v>1210</v>
      </c>
      <c r="B29" s="510"/>
      <c r="C29" s="760" t="str">
        <f>IF(ISERROR(B29/B15), "-", B29/B15)</f>
        <v>-</v>
      </c>
      <c r="D29" s="510"/>
      <c r="E29" s="761" t="str">
        <f>IF(ISERROR(D29/D15), "-", D29/D15)</f>
        <v>-</v>
      </c>
      <c r="F29" s="510"/>
      <c r="G29" s="761" t="str">
        <f>IF(ISERROR(F29/F15), "-", F29/F15)</f>
        <v>-</v>
      </c>
    </row>
    <row r="30" spans="1:7" ht="48" customHeight="1" x14ac:dyDescent="0.25">
      <c r="A30" s="746" t="s">
        <v>1191</v>
      </c>
      <c r="B30" s="510"/>
      <c r="C30" s="760" t="str">
        <f>IF(ISERROR(B30/B14), "-", B30/B14)</f>
        <v>-</v>
      </c>
      <c r="D30" s="510"/>
      <c r="E30" s="760" t="str">
        <f>IF(ISERROR(D30/D14), "-", D30/D14)</f>
        <v>-</v>
      </c>
      <c r="F30" s="510"/>
      <c r="G30" s="764" t="str">
        <f>IF(ISERROR(F30/F14), "-", F30/F14)</f>
        <v>-</v>
      </c>
    </row>
    <row r="31" spans="1:7" ht="48.75" customHeight="1" x14ac:dyDescent="0.25">
      <c r="A31" s="747" t="s">
        <v>1192</v>
      </c>
      <c r="B31" s="510"/>
      <c r="C31" s="760" t="str">
        <f>IF(ISERROR(B31/B18), "-", B31/B18)</f>
        <v>-</v>
      </c>
      <c r="D31" s="510"/>
      <c r="E31" s="760" t="str">
        <f>IF(ISERROR(D31/D18), "-", D31/D18)</f>
        <v>-</v>
      </c>
      <c r="F31" s="510"/>
      <c r="G31" s="764" t="str">
        <f>IF(ISERROR(F31/F18), "-", F31/F18)</f>
        <v>-</v>
      </c>
    </row>
    <row r="32" spans="1:7" x14ac:dyDescent="0.25">
      <c r="A32" s="748" t="s">
        <v>1058</v>
      </c>
      <c r="B32" s="900">
        <f>IF(SUM(B33:B34)&gt;B22,"ERROR",B22)</f>
        <v>0</v>
      </c>
      <c r="C32" s="917"/>
      <c r="D32" s="900">
        <f>IF(SUM(D33:D34)&gt;D22,"ERROR",D22)</f>
        <v>0</v>
      </c>
      <c r="E32" s="917"/>
      <c r="F32" s="900">
        <f>IF(SUM(F33:F34)&gt;F22,"ERROR",F22)</f>
        <v>0</v>
      </c>
      <c r="G32" s="765"/>
    </row>
    <row r="33" spans="1:7" x14ac:dyDescent="0.25">
      <c r="A33" s="740" t="s">
        <v>1059</v>
      </c>
      <c r="B33" s="510"/>
      <c r="C33" s="762"/>
      <c r="D33" s="510"/>
      <c r="E33" s="762"/>
      <c r="F33" s="510"/>
      <c r="G33" s="765"/>
    </row>
    <row r="34" spans="1:7" x14ac:dyDescent="0.25">
      <c r="A34" s="740" t="s">
        <v>1060</v>
      </c>
      <c r="B34" s="510"/>
      <c r="C34" s="762"/>
      <c r="D34" s="510"/>
      <c r="E34" s="762"/>
      <c r="F34" s="510"/>
      <c r="G34" s="765"/>
    </row>
    <row r="35" spans="1:7" x14ac:dyDescent="0.25">
      <c r="A35" s="647" t="s">
        <v>1284</v>
      </c>
      <c r="B35" s="678" t="s">
        <v>1057</v>
      </c>
      <c r="C35" s="678" t="s">
        <v>36</v>
      </c>
      <c r="D35" s="678" t="s">
        <v>1057</v>
      </c>
      <c r="E35" s="678" t="s">
        <v>36</v>
      </c>
      <c r="F35" s="678" t="s">
        <v>1057</v>
      </c>
      <c r="G35" s="678" t="s">
        <v>36</v>
      </c>
    </row>
    <row r="36" spans="1:7" ht="28.5" customHeight="1" x14ac:dyDescent="0.25">
      <c r="A36" s="749" t="s">
        <v>1193</v>
      </c>
      <c r="B36" s="510"/>
      <c r="C36" s="760" t="str">
        <f>IF(ISERROR(B36/B16), "-", B36/B16)</f>
        <v>-</v>
      </c>
      <c r="D36" s="510"/>
      <c r="E36" s="760" t="str">
        <f>IF(ISERROR(D36/D16), "-", D36/D16)</f>
        <v>-</v>
      </c>
      <c r="F36" s="510"/>
      <c r="G36" s="764" t="str">
        <f>IF(ISERROR(F36/F16), "-", F36/F16)</f>
        <v>-</v>
      </c>
    </row>
    <row r="37" spans="1:7" ht="45" x14ac:dyDescent="0.25">
      <c r="A37" s="749" t="s">
        <v>1194</v>
      </c>
      <c r="B37" s="510"/>
      <c r="C37" s="760" t="str">
        <f>IF(ISERROR(B37/B20), "-", B37/B20)</f>
        <v>-</v>
      </c>
      <c r="D37" s="510"/>
      <c r="E37" s="760" t="str">
        <f>IF(ISERROR(D37/D20), "-", D37/D20)</f>
        <v>-</v>
      </c>
      <c r="F37" s="510"/>
      <c r="G37" s="764" t="str">
        <f>IF(ISERROR(F37/F20), "-", F37/F20)</f>
        <v>-</v>
      </c>
    </row>
    <row r="38" spans="1:7" x14ac:dyDescent="0.25">
      <c r="A38" s="750" t="s">
        <v>1061</v>
      </c>
      <c r="B38" s="916">
        <f>IF(SUM(B39:B40)&gt;B23, "ERROR", B23)</f>
        <v>0</v>
      </c>
      <c r="C38" s="762"/>
      <c r="D38" s="916">
        <f>IF(SUM(D39:D40)&gt;D23, "ERROR", D23)</f>
        <v>0</v>
      </c>
      <c r="E38" s="762"/>
      <c r="F38" s="916">
        <f>IF(SUM(F39:F40)&gt;F23, "ERROR", F23)</f>
        <v>0</v>
      </c>
      <c r="G38" s="211"/>
    </row>
    <row r="39" spans="1:7" x14ac:dyDescent="0.25">
      <c r="A39" s="740" t="s">
        <v>1059</v>
      </c>
      <c r="B39" s="510"/>
      <c r="C39" s="762"/>
      <c r="D39" s="510"/>
      <c r="E39" s="762"/>
      <c r="F39" s="510"/>
      <c r="G39" s="211"/>
    </row>
    <row r="40" spans="1:7" x14ac:dyDescent="0.25">
      <c r="A40" s="740" t="s">
        <v>1060</v>
      </c>
      <c r="B40" s="510"/>
      <c r="C40" s="762"/>
      <c r="D40" s="510"/>
      <c r="E40" s="762"/>
      <c r="F40" s="510"/>
      <c r="G40" s="211"/>
    </row>
    <row r="41" spans="1:7" x14ac:dyDescent="0.25">
      <c r="A41" s="647" t="s">
        <v>1062</v>
      </c>
      <c r="B41" s="678" t="s">
        <v>1057</v>
      </c>
      <c r="C41" s="678" t="s">
        <v>36</v>
      </c>
      <c r="D41" s="678" t="s">
        <v>1057</v>
      </c>
      <c r="E41" s="678" t="s">
        <v>36</v>
      </c>
      <c r="F41" s="678" t="s">
        <v>1057</v>
      </c>
      <c r="G41" s="678" t="s">
        <v>36</v>
      </c>
    </row>
    <row r="42" spans="1:7" x14ac:dyDescent="0.25">
      <c r="A42" s="749" t="s">
        <v>1195</v>
      </c>
      <c r="B42" s="510"/>
      <c r="C42" s="760" t="str">
        <f>IF(ISERROR(B42/B21), "-", B42/B21)</f>
        <v>-</v>
      </c>
      <c r="D42" s="510"/>
      <c r="E42" s="760" t="str">
        <f>IF(ISERROR(D42/D21), "-", D42/D21)</f>
        <v>-</v>
      </c>
      <c r="F42" s="510"/>
      <c r="G42" s="764" t="str">
        <f>IF(ISERROR(F42/F21), "-", F42/F21)</f>
        <v>-</v>
      </c>
    </row>
    <row r="43" spans="1:7" x14ac:dyDescent="0.25">
      <c r="A43" s="749" t="s">
        <v>1063</v>
      </c>
      <c r="B43" s="510"/>
      <c r="C43" s="762"/>
      <c r="D43" s="510"/>
      <c r="E43" s="762"/>
      <c r="F43" s="510"/>
      <c r="G43" s="765"/>
    </row>
    <row r="44" spans="1:7" ht="30" x14ac:dyDescent="0.25">
      <c r="A44" s="709" t="s">
        <v>1252</v>
      </c>
      <c r="B44" s="923"/>
      <c r="C44" s="763"/>
      <c r="D44" s="923"/>
      <c r="E44" s="763"/>
      <c r="F44" s="923"/>
      <c r="G44" s="766"/>
    </row>
    <row r="45" spans="1:7" ht="30" x14ac:dyDescent="0.25">
      <c r="A45" s="751" t="s">
        <v>1196</v>
      </c>
      <c r="B45" s="1500"/>
      <c r="C45" s="1500"/>
      <c r="D45" s="1500"/>
      <c r="E45" s="1500"/>
      <c r="F45" s="1500"/>
      <c r="G45" s="1500"/>
    </row>
    <row r="46" spans="1:7" ht="30" x14ac:dyDescent="0.25">
      <c r="A46" s="751" t="s">
        <v>1197</v>
      </c>
      <c r="B46" s="1500"/>
      <c r="C46" s="1500"/>
      <c r="D46" s="1500"/>
      <c r="E46" s="1500"/>
      <c r="F46" s="1500"/>
      <c r="G46" s="1500"/>
    </row>
    <row r="48" spans="1:7" ht="21" x14ac:dyDescent="0.35">
      <c r="A48" s="1326" t="s">
        <v>117</v>
      </c>
      <c r="B48" s="1326"/>
    </row>
    <row r="49" spans="1:4" ht="21.75" thickBot="1" x14ac:dyDescent="0.4">
      <c r="A49" s="680"/>
      <c r="B49" s="680"/>
    </row>
    <row r="50" spans="1:4" x14ac:dyDescent="0.25">
      <c r="A50" s="157" t="s">
        <v>18</v>
      </c>
      <c r="B50" s="157" t="s">
        <v>148</v>
      </c>
      <c r="C50" s="147" t="s">
        <v>149</v>
      </c>
      <c r="D50" s="148" t="s">
        <v>34</v>
      </c>
    </row>
    <row r="51" spans="1:4" ht="45" x14ac:dyDescent="0.25">
      <c r="A51" s="1511">
        <f>B10</f>
        <v>0</v>
      </c>
      <c r="B51" s="755" t="s">
        <v>1199</v>
      </c>
      <c r="C51" s="753">
        <v>10</v>
      </c>
      <c r="D51" s="26">
        <f>IF(C26="-", 0, IF(C26&gt;=0.95, 10, IF(C26&gt;=0.9, 5, 0)))</f>
        <v>0</v>
      </c>
    </row>
    <row r="52" spans="1:4" ht="45" x14ac:dyDescent="0.25">
      <c r="A52" s="1511"/>
      <c r="B52" s="755" t="s">
        <v>1200</v>
      </c>
      <c r="C52" s="753">
        <v>5</v>
      </c>
      <c r="D52" s="26">
        <f>IF(C29="-", 0, IF(C29&lt;=0.03, 5, 0))</f>
        <v>0</v>
      </c>
    </row>
    <row r="53" spans="1:4" ht="45" x14ac:dyDescent="0.25">
      <c r="A53" s="1511"/>
      <c r="B53" s="755" t="s">
        <v>1201</v>
      </c>
      <c r="C53" s="753">
        <v>10</v>
      </c>
      <c r="D53" s="26">
        <f>IF(C30="-", 0, IF(C30&gt;=0.95, 10, IF(C30&gt;=0.9, 5, 0)))</f>
        <v>0</v>
      </c>
    </row>
    <row r="54" spans="1:4" ht="45" x14ac:dyDescent="0.25">
      <c r="A54" s="1511"/>
      <c r="B54" s="755" t="s">
        <v>1206</v>
      </c>
      <c r="C54" s="753">
        <v>10</v>
      </c>
      <c r="D54" s="26">
        <f>IF(C31="-", 0, IF(C31&gt;=0.95, 10, IF(C31&gt;=0.9, 5, 0)))</f>
        <v>0</v>
      </c>
    </row>
    <row r="55" spans="1:4" ht="60" x14ac:dyDescent="0.25">
      <c r="A55" s="1511"/>
      <c r="B55" s="755" t="s">
        <v>1207</v>
      </c>
      <c r="C55" s="753">
        <v>10</v>
      </c>
      <c r="D55" s="26">
        <f>IF(C36="-", 0, IF(C36&gt;=0.95, 10, IF(C36&gt;=0.85, 5, 0)))</f>
        <v>0</v>
      </c>
    </row>
    <row r="56" spans="1:4" ht="60" x14ac:dyDescent="0.25">
      <c r="A56" s="1511"/>
      <c r="B56" s="755" t="s">
        <v>1202</v>
      </c>
      <c r="C56" s="753">
        <v>10</v>
      </c>
      <c r="D56" s="26">
        <f>IF(C37="-", 0, IF(C37&gt;=0.95, 10, IF(C37&gt;=0.85, 5, 0)))</f>
        <v>0</v>
      </c>
    </row>
    <row r="57" spans="1:4" ht="45" x14ac:dyDescent="0.25">
      <c r="A57" s="1511"/>
      <c r="B57" s="755" t="s">
        <v>1203</v>
      </c>
      <c r="C57" s="753">
        <v>5</v>
      </c>
      <c r="D57" s="26">
        <f>IF(C42="-", 0, IF(C42&lt;=0.02, 5, 0))</f>
        <v>0</v>
      </c>
    </row>
    <row r="58" spans="1:4" x14ac:dyDescent="0.25">
      <c r="A58" s="1511"/>
      <c r="B58" s="755" t="s">
        <v>1204</v>
      </c>
      <c r="C58" s="753">
        <v>5</v>
      </c>
      <c r="D58" s="26">
        <f>IF(B45="Yes", 5, 0)</f>
        <v>0</v>
      </c>
    </row>
    <row r="59" spans="1:4" ht="15.75" thickBot="1" x14ac:dyDescent="0.3">
      <c r="A59" s="1511"/>
      <c r="B59" s="756" t="s">
        <v>1205</v>
      </c>
      <c r="C59" s="754">
        <v>5</v>
      </c>
      <c r="D59" s="129">
        <f>IF(B46="Yes", 5, 0)</f>
        <v>0</v>
      </c>
    </row>
    <row r="60" spans="1:4" ht="15" customHeight="1" thickBot="1" x14ac:dyDescent="0.3">
      <c r="A60" s="1512"/>
      <c r="B60" s="1513" t="s">
        <v>395</v>
      </c>
      <c r="C60" s="1514"/>
      <c r="D60" s="88">
        <f>SUM(D51:D59)</f>
        <v>0</v>
      </c>
    </row>
    <row r="61" spans="1:4" ht="45" x14ac:dyDescent="0.25">
      <c r="A61" s="1515">
        <f>D10</f>
        <v>0</v>
      </c>
      <c r="B61" s="758" t="s">
        <v>1199</v>
      </c>
      <c r="C61" s="759">
        <v>10</v>
      </c>
      <c r="D61" s="285">
        <f>IF(E26="-", 0, IF(E26&gt;=0.95, 10, IF(E26&gt;=0.9, 5, 0)))</f>
        <v>0</v>
      </c>
    </row>
    <row r="62" spans="1:4" ht="45" x14ac:dyDescent="0.25">
      <c r="A62" s="1516"/>
      <c r="B62" s="755" t="s">
        <v>1200</v>
      </c>
      <c r="C62" s="753">
        <v>5</v>
      </c>
      <c r="D62" s="26">
        <f>IF(E29="-", 0, IF(E29&lt;=0.03, 5, 0))</f>
        <v>0</v>
      </c>
    </row>
    <row r="63" spans="1:4" ht="45" x14ac:dyDescent="0.25">
      <c r="A63" s="1516"/>
      <c r="B63" s="755" t="s">
        <v>1201</v>
      </c>
      <c r="C63" s="753">
        <v>10</v>
      </c>
      <c r="D63" s="26">
        <f>IF(E30="-", 0, IF(E30&gt;=0.95, 10, IF(E30&gt;=0.9, 5, 0)))</f>
        <v>0</v>
      </c>
    </row>
    <row r="64" spans="1:4" ht="45" x14ac:dyDescent="0.25">
      <c r="A64" s="1516"/>
      <c r="B64" s="755" t="s">
        <v>1206</v>
      </c>
      <c r="C64" s="753">
        <v>10</v>
      </c>
      <c r="D64" s="26">
        <f>IF(E31="-", 0, IF(E31&gt;=0.95, 10, IF(E31&gt;=0.9, 5, 0)))</f>
        <v>0</v>
      </c>
    </row>
    <row r="65" spans="1:4" ht="60" x14ac:dyDescent="0.25">
      <c r="A65" s="1516"/>
      <c r="B65" s="755" t="s">
        <v>1207</v>
      </c>
      <c r="C65" s="753">
        <v>10</v>
      </c>
      <c r="D65" s="26">
        <f>IF(E36="-", 0, IF(E36&gt;=0.95, 10, IF(E36&gt;=0.85, 5, 0)))</f>
        <v>0</v>
      </c>
    </row>
    <row r="66" spans="1:4" ht="60" x14ac:dyDescent="0.25">
      <c r="A66" s="1516"/>
      <c r="B66" s="755" t="s">
        <v>1202</v>
      </c>
      <c r="C66" s="753">
        <v>10</v>
      </c>
      <c r="D66" s="26">
        <f>IF(E37="-", 0, IF(E37&gt;=0.95, 10, IF(E37&gt;=0.85, 5, 0)))</f>
        <v>0</v>
      </c>
    </row>
    <row r="67" spans="1:4" ht="45" x14ac:dyDescent="0.25">
      <c r="A67" s="1516"/>
      <c r="B67" s="755" t="s">
        <v>1203</v>
      </c>
      <c r="C67" s="753">
        <v>5</v>
      </c>
      <c r="D67" s="26">
        <f>IF(E42="-", 0, IF(E42&lt;=0.02, 5, 0))</f>
        <v>0</v>
      </c>
    </row>
    <row r="68" spans="1:4" x14ac:dyDescent="0.25">
      <c r="A68" s="1516"/>
      <c r="B68" s="755" t="s">
        <v>1204</v>
      </c>
      <c r="C68" s="753">
        <v>5</v>
      </c>
      <c r="D68" s="26">
        <f>IF(D45="Yes", 5, 0)</f>
        <v>0</v>
      </c>
    </row>
    <row r="69" spans="1:4" ht="15.75" thickBot="1" x14ac:dyDescent="0.3">
      <c r="A69" s="1516"/>
      <c r="B69" s="756" t="s">
        <v>1205</v>
      </c>
      <c r="C69" s="754">
        <v>5</v>
      </c>
      <c r="D69" s="129">
        <f>IF(D46="Yes", 5, 0)</f>
        <v>0</v>
      </c>
    </row>
    <row r="70" spans="1:4" ht="15" customHeight="1" thickBot="1" x14ac:dyDescent="0.3">
      <c r="A70" s="1516"/>
      <c r="B70" s="1513" t="s">
        <v>395</v>
      </c>
      <c r="C70" s="1514"/>
      <c r="D70" s="757">
        <f>SUM(D61:D69)</f>
        <v>0</v>
      </c>
    </row>
    <row r="71" spans="1:4" ht="45" x14ac:dyDescent="0.25">
      <c r="A71" s="1515">
        <f>F10</f>
        <v>0</v>
      </c>
      <c r="B71" s="758" t="s">
        <v>1199</v>
      </c>
      <c r="C71" s="759">
        <v>10</v>
      </c>
      <c r="D71" s="285">
        <f>IF(G26="-", 0, IF(G26&gt;=0.95, 10, IF(G26&gt;=0.9, 5, 0)))</f>
        <v>0</v>
      </c>
    </row>
    <row r="72" spans="1:4" ht="45" x14ac:dyDescent="0.25">
      <c r="A72" s="1516"/>
      <c r="B72" s="755" t="s">
        <v>1200</v>
      </c>
      <c r="C72" s="753">
        <v>5</v>
      </c>
      <c r="D72" s="26">
        <f>IF(G29="-", 0, IF(G29&lt;=0.03, 5, 0))</f>
        <v>0</v>
      </c>
    </row>
    <row r="73" spans="1:4" ht="45" x14ac:dyDescent="0.25">
      <c r="A73" s="1516"/>
      <c r="B73" s="755" t="s">
        <v>1201</v>
      </c>
      <c r="C73" s="753">
        <v>10</v>
      </c>
      <c r="D73" s="26">
        <f>IF(G30="-", 0, IF(G30&gt;=0.95, 10, IF(G30&gt;=0.9, 5, 0)))</f>
        <v>0</v>
      </c>
    </row>
    <row r="74" spans="1:4" ht="45" x14ac:dyDescent="0.25">
      <c r="A74" s="1516"/>
      <c r="B74" s="755" t="s">
        <v>1206</v>
      </c>
      <c r="C74" s="753">
        <v>10</v>
      </c>
      <c r="D74" s="26">
        <f>IF(G31="-", 0, IF(G31&gt;=0.95, 10, IF(G31&gt;=0.9, 5, 0)))</f>
        <v>0</v>
      </c>
    </row>
    <row r="75" spans="1:4" ht="60" x14ac:dyDescent="0.25">
      <c r="A75" s="1516"/>
      <c r="B75" s="755" t="s">
        <v>1207</v>
      </c>
      <c r="C75" s="753">
        <v>10</v>
      </c>
      <c r="D75" s="26">
        <f>IF(G36="-", 0, IF(G36&gt;=0.95, 10, IF(G36&gt;=0.85, 5, 0)))</f>
        <v>0</v>
      </c>
    </row>
    <row r="76" spans="1:4" ht="60" x14ac:dyDescent="0.25">
      <c r="A76" s="1516"/>
      <c r="B76" s="755" t="s">
        <v>1202</v>
      </c>
      <c r="C76" s="753">
        <v>10</v>
      </c>
      <c r="D76" s="26">
        <f>IF(G37="-", 0, IF(G37&gt;=0.95, 10, IF(G37&gt;=0.85, 5, 0)))</f>
        <v>0</v>
      </c>
    </row>
    <row r="77" spans="1:4" ht="45" x14ac:dyDescent="0.25">
      <c r="A77" s="1516"/>
      <c r="B77" s="755" t="s">
        <v>1203</v>
      </c>
      <c r="C77" s="753">
        <v>5</v>
      </c>
      <c r="D77" s="26">
        <f>IF(G42="-", 0, IF(G42&lt;=0.02,5, 0))</f>
        <v>0</v>
      </c>
    </row>
    <row r="78" spans="1:4" x14ac:dyDescent="0.25">
      <c r="A78" s="1516"/>
      <c r="B78" s="755" t="s">
        <v>1204</v>
      </c>
      <c r="C78" s="753">
        <v>5</v>
      </c>
      <c r="D78" s="26">
        <f>IF(F45="Yes", 5, 0)</f>
        <v>0</v>
      </c>
    </row>
    <row r="79" spans="1:4" ht="15.75" thickBot="1" x14ac:dyDescent="0.3">
      <c r="A79" s="1516"/>
      <c r="B79" s="756" t="s">
        <v>1205</v>
      </c>
      <c r="C79" s="754">
        <v>5</v>
      </c>
      <c r="D79" s="129">
        <f>IF(F46="Yes", 5, 0)</f>
        <v>0</v>
      </c>
    </row>
    <row r="80" spans="1:4" ht="15.75" thickBot="1" x14ac:dyDescent="0.3">
      <c r="A80" s="1517"/>
      <c r="B80" s="1513" t="s">
        <v>395</v>
      </c>
      <c r="C80" s="1514"/>
      <c r="D80" s="88">
        <f>SUM(D71:D79)</f>
        <v>0</v>
      </c>
    </row>
    <row r="81" spans="1:4" ht="15.75" thickBot="1" x14ac:dyDescent="0.3">
      <c r="A81" s="1507" t="s">
        <v>128</v>
      </c>
      <c r="B81" s="1508"/>
      <c r="C81" s="1508"/>
      <c r="D81" s="475">
        <f>SUM(D60,D70,D80)</f>
        <v>0</v>
      </c>
    </row>
  </sheetData>
  <sheetProtection algorithmName="SHA-512" hashValue="c/dftI78FDungkEjaq4kQ4hWPnnKy5VE4hvrl4xDKrR7wA7fLssLSfU8cvF8ascQEFy1b4lDCMnxO/tLptfczA==" saltValue="m8UnAw8b8MyOL24OrWQBhA==" spinCount="100000" sheet="1" objects="1" scenarios="1"/>
  <protectedRanges>
    <protectedRange algorithmName="SHA-512" hashValue="e4HlnFkB7kh6ACudW4HXXqQhpKiO94SnMjE0WZCDCleaWUfPlizls9SfwzIamwknNZTGoiN0aqqsPIUE9l5FsA==" saltValue="ZEzh9tUEjDXR8l4x44epMQ==" spinCount="100000" sqref="B14:G16 B18:G20 B24:G24 B26:B31 D26:D31 F26:F31 B33:B34 D33:D34 F33:F34 B36:B37 D36:D37 F36:F37 B39:B40 D39:D40 F39:F40 B42:B44 D42:D44 F42:F44 B45:G46 B45:G46" name="Range2"/>
  </protectedRanges>
  <dataConsolidate/>
  <mergeCells count="59">
    <mergeCell ref="A81:C81"/>
    <mergeCell ref="A48:B48"/>
    <mergeCell ref="B19:C19"/>
    <mergeCell ref="D19:E19"/>
    <mergeCell ref="F19:G19"/>
    <mergeCell ref="A51:A60"/>
    <mergeCell ref="B60:C60"/>
    <mergeCell ref="A61:A70"/>
    <mergeCell ref="B70:C70"/>
    <mergeCell ref="A71:A80"/>
    <mergeCell ref="B80:C80"/>
    <mergeCell ref="B45:C45"/>
    <mergeCell ref="B46:C46"/>
    <mergeCell ref="D45:E45"/>
    <mergeCell ref="D46:E46"/>
    <mergeCell ref="F45:G45"/>
    <mergeCell ref="F46:G46"/>
    <mergeCell ref="F18:G18"/>
    <mergeCell ref="F20:G20"/>
    <mergeCell ref="F21:G21"/>
    <mergeCell ref="F22:G22"/>
    <mergeCell ref="F23:G23"/>
    <mergeCell ref="F24:G24"/>
    <mergeCell ref="F12:G12"/>
    <mergeCell ref="F13:G13"/>
    <mergeCell ref="F14:G14"/>
    <mergeCell ref="F15:G15"/>
    <mergeCell ref="F16:G16"/>
    <mergeCell ref="F17:G17"/>
    <mergeCell ref="D18:E18"/>
    <mergeCell ref="D20:E20"/>
    <mergeCell ref="D21:E21"/>
    <mergeCell ref="D22:E22"/>
    <mergeCell ref="D23:E23"/>
    <mergeCell ref="D24:E24"/>
    <mergeCell ref="D12:E12"/>
    <mergeCell ref="D13:E13"/>
    <mergeCell ref="D14:E14"/>
    <mergeCell ref="D15:E15"/>
    <mergeCell ref="D16:E16"/>
    <mergeCell ref="D17:E17"/>
    <mergeCell ref="B24:C24"/>
    <mergeCell ref="B12:C12"/>
    <mergeCell ref="B13:C13"/>
    <mergeCell ref="B14:C14"/>
    <mergeCell ref="B15:C15"/>
    <mergeCell ref="B16:C16"/>
    <mergeCell ref="B17:C17"/>
    <mergeCell ref="B18:C18"/>
    <mergeCell ref="B20:C20"/>
    <mergeCell ref="B21:C21"/>
    <mergeCell ref="B22:C22"/>
    <mergeCell ref="B23:C23"/>
    <mergeCell ref="B10:C10"/>
    <mergeCell ref="D10:E10"/>
    <mergeCell ref="F10:G10"/>
    <mergeCell ref="B11:C11"/>
    <mergeCell ref="D11:E11"/>
    <mergeCell ref="F11:G11"/>
  </mergeCells>
  <dataValidations count="10">
    <dataValidation type="list" allowBlank="1" showInputMessage="1" showErrorMessage="1" sqref="B45:G46" xr:uid="{87A05BF3-E3D2-4086-B937-FE3FE946B481}">
      <formula1>$R$10:$R$11</formula1>
    </dataValidation>
    <dataValidation type="whole" operator="lessThanOrEqual" allowBlank="1" showInputMessage="1" showErrorMessage="1" sqref="B15:C15 D15:E15 F15:G15 B19:C19 D19:E19 F19:G19" xr:uid="{AB065DE8-FE5B-4B21-BAAC-1F315AA1DD25}">
      <formula1>B14</formula1>
    </dataValidation>
    <dataValidation type="whole" allowBlank="1" showInputMessage="1" showErrorMessage="1" sqref="D43:D44 D39:D40 B43:B44 B33:B34 D33:D34 F33:F34 F39:F40 B39:B40 F43:F44" xr:uid="{89D6690C-463C-4BBD-AB75-FAF3F2FD5E8E}">
      <formula1>0</formula1>
      <formula2>1E+21</formula2>
    </dataValidation>
    <dataValidation type="whole" operator="lessThanOrEqual" allowBlank="1" showInputMessage="1" showErrorMessage="1" sqref="B26:B27 D26:D27 F26:F27" xr:uid="{500BECF8-C3ED-4218-A478-C0E8729C121F}">
      <formula1>B14</formula1>
    </dataValidation>
    <dataValidation type="whole" operator="lessThanOrEqual" allowBlank="1" showInputMessage="1" showErrorMessage="1" sqref="B28 D28 F28 B29 D29 F29" xr:uid="{2B2BFAA9-FF8D-4D32-84F3-8BB89E10F743}">
      <formula1>B14</formula1>
    </dataValidation>
    <dataValidation type="whole" operator="lessThanOrEqual" allowBlank="1" showInputMessage="1" showErrorMessage="1" sqref="B30 D30 F30" xr:uid="{1FD0E07C-5C40-4D57-A3C9-AAFBEAEF850C}">
      <formula1>B14</formula1>
    </dataValidation>
    <dataValidation type="whole" operator="lessThanOrEqual" allowBlank="1" showInputMessage="1" showErrorMessage="1" sqref="B31 D31 F31" xr:uid="{A610E361-5E84-4810-AB5B-40067043BBC4}">
      <formula1>B18</formula1>
    </dataValidation>
    <dataValidation type="whole" operator="lessThanOrEqual" allowBlank="1" showInputMessage="1" showErrorMessage="1" sqref="B36 D36 F36" xr:uid="{8829C8E3-AB0F-4A4F-A03F-9F8483F3F31B}">
      <formula1>B16</formula1>
    </dataValidation>
    <dataValidation type="whole" operator="lessThanOrEqual" allowBlank="1" showInputMessage="1" showErrorMessage="1" sqref="B37 D37 F37" xr:uid="{2A9F798B-302A-4FCF-97D2-5A16B8548692}">
      <formula1>B20</formula1>
    </dataValidation>
    <dataValidation type="whole" operator="lessThanOrEqual" allowBlank="1" showInputMessage="1" showErrorMessage="1" sqref="B42 D42 F42" xr:uid="{C1C6F724-AEE3-4CA6-A67A-CEDA8EE4AE46}">
      <formula1>B21</formula1>
    </dataValidation>
  </dataValidations>
  <hyperlinks>
    <hyperlink ref="D1" location="'Respondent Information'!A1" display="Back to Respondent Information" xr:uid="{58128452-B9CD-42B1-8812-E35860CA5D79}"/>
  </hyperlinks>
  <pageMargins left="0.7" right="0.7" top="0.75" bottom="0.75" header="0.3" footer="0.3"/>
  <pageSetup scale="55" fitToHeight="0" orientation="landscape" horizontalDpi="1200" verticalDpi="1200" r:id="rId1"/>
  <headerFooter>
    <oddHeader>&amp;C&amp;"Arial,Bold"&amp;14EXHIBIT A-5-a-V3
SUBMISSION REQUIREMENTS AND EVALUATION RESPONSE TEMPLATE</oddHeader>
    <oddFooter>&amp;C&amp;"Arial,Bold"AHCA ITN 010-22/23, Attachment A, Exhibit A-5-a-V3, Page &amp;P of &amp;N</oddFooter>
  </headerFooter>
  <tableParts count="1">
    <tablePart r:id="rId2"/>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13E62-58E8-4A7B-926A-C16070E0E255}">
  <sheetPr codeName="Sheet14">
    <tabColor theme="9" tint="0.39997558519241921"/>
  </sheetPr>
  <dimension ref="A1:O25"/>
  <sheetViews>
    <sheetView zoomScaleNormal="100" workbookViewId="0"/>
  </sheetViews>
  <sheetFormatPr defaultRowHeight="15" x14ac:dyDescent="0.25"/>
  <cols>
    <col min="3" max="3" width="34.85546875" customWidth="1"/>
    <col min="4" max="4" width="20.140625" customWidth="1"/>
    <col min="5" max="5" width="16.85546875" customWidth="1"/>
  </cols>
  <sheetData>
    <row r="1" spans="1:15" ht="28.5" x14ac:dyDescent="0.45">
      <c r="A1" s="416" t="s">
        <v>1064</v>
      </c>
      <c r="B1" s="691"/>
      <c r="C1" s="691"/>
      <c r="D1" s="691"/>
      <c r="E1" s="19"/>
      <c r="F1" s="416" t="s">
        <v>1064</v>
      </c>
      <c r="G1" s="19"/>
      <c r="H1" s="19"/>
      <c r="K1" s="643"/>
      <c r="L1" s="643"/>
      <c r="M1" s="643"/>
      <c r="O1" s="416" t="s">
        <v>1064</v>
      </c>
    </row>
    <row r="2" spans="1:15" ht="21.75" customHeight="1" x14ac:dyDescent="0.45">
      <c r="A2" s="416" t="s">
        <v>1065</v>
      </c>
      <c r="B2" s="691"/>
      <c r="C2" s="691"/>
      <c r="D2" s="691"/>
      <c r="E2" s="19"/>
      <c r="F2" s="416" t="s">
        <v>1066</v>
      </c>
      <c r="G2" s="19"/>
      <c r="H2" s="19"/>
      <c r="K2" s="643"/>
      <c r="L2" s="643"/>
      <c r="M2" s="643"/>
      <c r="O2" s="416" t="s">
        <v>1066</v>
      </c>
    </row>
    <row r="3" spans="1:15" ht="21.75" customHeight="1" x14ac:dyDescent="0.25">
      <c r="A3" s="1518" t="s">
        <v>82</v>
      </c>
      <c r="B3" s="1518"/>
      <c r="C3" s="1518"/>
      <c r="D3" s="1518"/>
    </row>
    <row r="4" spans="1:15" x14ac:dyDescent="0.25">
      <c r="B4" s="701"/>
      <c r="C4" s="701"/>
    </row>
    <row r="11" spans="1:15" ht="27.75" customHeight="1" x14ac:dyDescent="0.25"/>
    <row r="18" spans="1:5" ht="8.25" customHeight="1" x14ac:dyDescent="0.25"/>
    <row r="19" spans="1:5" ht="12.75" customHeight="1" x14ac:dyDescent="0.25"/>
    <row r="20" spans="1:5" ht="30" x14ac:dyDescent="0.25">
      <c r="A20" s="1519" t="s">
        <v>1067</v>
      </c>
      <c r="B20" s="1519"/>
      <c r="C20" s="1519"/>
      <c r="D20" s="1519"/>
      <c r="E20" s="390" t="s">
        <v>1068</v>
      </c>
    </row>
    <row r="21" spans="1:5" x14ac:dyDescent="0.25">
      <c r="A21" s="1505" t="s">
        <v>1069</v>
      </c>
      <c r="B21" s="1505"/>
      <c r="C21" s="1505"/>
      <c r="D21" s="1505"/>
      <c r="E21" s="361">
        <v>0.85</v>
      </c>
    </row>
    <row r="22" spans="1:5" x14ac:dyDescent="0.25">
      <c r="A22" s="1505" t="s">
        <v>1070</v>
      </c>
      <c r="B22" s="1505"/>
      <c r="C22" s="1505"/>
      <c r="D22" s="1505"/>
      <c r="E22" s="361">
        <v>0.84</v>
      </c>
    </row>
    <row r="23" spans="1:5" x14ac:dyDescent="0.25">
      <c r="A23" s="1505" t="s">
        <v>1071</v>
      </c>
      <c r="B23" s="1505"/>
      <c r="C23" s="1505"/>
      <c r="D23" s="1505"/>
      <c r="E23" s="361">
        <v>0.8</v>
      </c>
    </row>
    <row r="25" spans="1:5" ht="10.5" customHeight="1" x14ac:dyDescent="0.25"/>
  </sheetData>
  <sheetProtection algorithmName="SHA-512" hashValue="InnR/dy7V4C4l6aPToridWXPJby+SKwd26KLFEDMEmpt8L7mlxdEXdrKGJEyjWWeh0Yq9nGqCHxlR46AY2SM2w==" saltValue="pHd3CO/r8I7lnlkJUhjy2A==" spinCount="100000" sheet="1" objects="1" scenarios="1"/>
  <mergeCells count="5">
    <mergeCell ref="A3:D3"/>
    <mergeCell ref="A23:D23"/>
    <mergeCell ref="A22:D22"/>
    <mergeCell ref="A21:D21"/>
    <mergeCell ref="A20:D20"/>
  </mergeCells>
  <hyperlinks>
    <hyperlink ref="A3" location="'Respondent Information'!A1" display="Back to Respondent Information" xr:uid="{9ACD5FE2-F1AC-4860-ACD6-50A57384E097}"/>
  </hyperlinks>
  <pageMargins left="0.7" right="0.7" top="0.75" bottom="0.75" header="0.3" footer="0.3"/>
  <pageSetup orientation="portrait" r:id="rId1"/>
  <headerFooter>
    <oddHeader>&amp;C&amp;"Arial,Bold"&amp;14EXHIBIT A-5-a-V3
SUBMISSION REQUIREMENTS AND EVALUATION RESPONSE TEMPLATE</oddHeader>
    <oddFooter>&amp;C&amp;"Arial,Bold"AHCA ITN 010-22/23, Attachment A, Exhibit A-5-a-V3, Page &amp;P of &amp;N</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E4B1D-3176-4042-81AC-50651CC54741}">
  <sheetPr codeName="Sheet5">
    <tabColor theme="9" tint="0.39997558519241921"/>
    <pageSetUpPr fitToPage="1"/>
  </sheetPr>
  <dimension ref="A1:Q127"/>
  <sheetViews>
    <sheetView workbookViewId="0"/>
  </sheetViews>
  <sheetFormatPr defaultRowHeight="15" x14ac:dyDescent="0.25"/>
  <cols>
    <col min="1" max="1" width="40.42578125" customWidth="1"/>
    <col min="2" max="2" width="31" customWidth="1"/>
    <col min="3" max="3" width="20.42578125" bestFit="1" customWidth="1"/>
    <col min="4" max="4" width="19" bestFit="1" customWidth="1"/>
    <col min="5" max="5" width="18.7109375" bestFit="1" customWidth="1"/>
    <col min="6" max="6" width="17.7109375" customWidth="1"/>
    <col min="7" max="7" width="20.140625" customWidth="1"/>
    <col min="8" max="8" width="8.85546875" customWidth="1"/>
    <col min="9" max="17" width="9.140625" hidden="1" customWidth="1"/>
  </cols>
  <sheetData>
    <row r="1" spans="1:15" ht="23.25" x14ac:dyDescent="0.35">
      <c r="A1" s="691" t="s">
        <v>1072</v>
      </c>
      <c r="F1" s="1055" t="s">
        <v>82</v>
      </c>
      <c r="G1" s="1055"/>
    </row>
    <row r="2" spans="1:15" ht="28.5" x14ac:dyDescent="0.45">
      <c r="A2" s="14"/>
    </row>
    <row r="3" spans="1:15" ht="12.75" customHeight="1" x14ac:dyDescent="0.25">
      <c r="A3" s="692" t="s">
        <v>84</v>
      </c>
      <c r="B3" s="692" t="s">
        <v>85</v>
      </c>
    </row>
    <row r="4" spans="1:15" x14ac:dyDescent="0.25">
      <c r="A4" s="693" t="s">
        <v>87</v>
      </c>
      <c r="B4" s="179">
        <v>100</v>
      </c>
    </row>
    <row r="5" spans="1:15" x14ac:dyDescent="0.25">
      <c r="A5" s="693" t="s">
        <v>88</v>
      </c>
      <c r="B5" s="222">
        <f>E74</f>
        <v>0</v>
      </c>
    </row>
    <row r="6" spans="1:15" x14ac:dyDescent="0.25">
      <c r="A6" s="413" t="s">
        <v>89</v>
      </c>
      <c r="B6" s="420">
        <f>B5/B4</f>
        <v>0</v>
      </c>
    </row>
    <row r="7" spans="1:15" x14ac:dyDescent="0.25">
      <c r="A7" s="413" t="s">
        <v>135</v>
      </c>
      <c r="B7" s="414">
        <v>100</v>
      </c>
    </row>
    <row r="8" spans="1:15" x14ac:dyDescent="0.25">
      <c r="A8" s="413" t="s">
        <v>1257</v>
      </c>
      <c r="B8" s="421">
        <f>B6*B7</f>
        <v>0</v>
      </c>
    </row>
    <row r="9" spans="1:15" ht="15.75" thickBot="1" x14ac:dyDescent="0.3">
      <c r="A9" s="41"/>
    </row>
    <row r="10" spans="1:15" ht="23.25" x14ac:dyDescent="0.35">
      <c r="A10" s="370" t="s">
        <v>18</v>
      </c>
      <c r="B10" s="1520">
        <f>'Respondent Information'!C6</f>
        <v>0</v>
      </c>
      <c r="C10" s="1189"/>
      <c r="D10" s="1520">
        <f>'Respondent Information'!C9</f>
        <v>0</v>
      </c>
      <c r="E10" s="1189"/>
      <c r="F10" s="1520">
        <f>'Respondent Information'!C12</f>
        <v>0</v>
      </c>
      <c r="G10" s="1192"/>
    </row>
    <row r="11" spans="1:15" x14ac:dyDescent="0.25">
      <c r="A11" s="1551" t="s">
        <v>20</v>
      </c>
      <c r="B11" s="1553">
        <f>'Respondent Information'!E6</f>
        <v>0</v>
      </c>
      <c r="C11" s="1554"/>
      <c r="D11" s="1553">
        <f>'Respondent Information'!E9</f>
        <v>0</v>
      </c>
      <c r="E11" s="1554"/>
      <c r="F11" s="1553">
        <f>'Respondent Information'!E12</f>
        <v>0</v>
      </c>
      <c r="G11" s="1554"/>
    </row>
    <row r="12" spans="1:15" ht="15.75" thickBot="1" x14ac:dyDescent="0.3">
      <c r="A12" s="1552"/>
      <c r="B12" s="1555"/>
      <c r="C12" s="1556"/>
      <c r="D12" s="1555"/>
      <c r="E12" s="1556"/>
      <c r="F12" s="1555"/>
      <c r="G12" s="1556"/>
      <c r="O12" t="s">
        <v>66</v>
      </c>
    </row>
    <row r="13" spans="1:15" x14ac:dyDescent="0.25">
      <c r="A13" s="371" t="s">
        <v>1073</v>
      </c>
      <c r="B13" s="567" t="s">
        <v>1074</v>
      </c>
      <c r="C13" s="588" t="s">
        <v>1075</v>
      </c>
      <c r="D13" s="567" t="s">
        <v>1074</v>
      </c>
      <c r="E13" s="588" t="s">
        <v>1075</v>
      </c>
      <c r="F13" s="567" t="s">
        <v>1074</v>
      </c>
      <c r="G13" s="566" t="s">
        <v>1075</v>
      </c>
      <c r="K13" s="354"/>
      <c r="O13" t="s">
        <v>72</v>
      </c>
    </row>
    <row r="14" spans="1:15" x14ac:dyDescent="0.25">
      <c r="A14" s="585" t="s">
        <v>1076</v>
      </c>
      <c r="B14" s="163"/>
      <c r="C14" s="888"/>
      <c r="D14" s="90"/>
      <c r="E14" s="206"/>
      <c r="F14" s="163"/>
      <c r="G14" s="91"/>
      <c r="I14" t="s">
        <v>1077</v>
      </c>
      <c r="J14" t="s">
        <v>1078</v>
      </c>
      <c r="O14" t="s">
        <v>69</v>
      </c>
    </row>
    <row r="15" spans="1:15" x14ac:dyDescent="0.25">
      <c r="A15" s="586" t="s">
        <v>1079</v>
      </c>
      <c r="B15" s="941"/>
      <c r="C15" s="938"/>
      <c r="D15" s="508"/>
      <c r="E15" s="521"/>
      <c r="F15" s="508"/>
      <c r="G15" s="509"/>
      <c r="I15" s="351">
        <v>0.62</v>
      </c>
      <c r="J15" s="351">
        <v>0.72</v>
      </c>
    </row>
    <row r="16" spans="1:15" x14ac:dyDescent="0.25">
      <c r="A16" s="586" t="s">
        <v>1080</v>
      </c>
      <c r="B16" s="941"/>
      <c r="C16" s="940"/>
      <c r="D16" s="508"/>
      <c r="E16" s="521"/>
      <c r="F16" s="508"/>
      <c r="G16" s="509"/>
      <c r="I16" s="351">
        <v>0.56000000000000005</v>
      </c>
      <c r="J16" s="351">
        <v>0.71</v>
      </c>
    </row>
    <row r="17" spans="1:15" ht="30" x14ac:dyDescent="0.25">
      <c r="A17" s="586" t="s">
        <v>1081</v>
      </c>
      <c r="B17" s="941"/>
      <c r="C17" s="938"/>
      <c r="D17" s="508"/>
      <c r="E17" s="521"/>
      <c r="F17" s="508"/>
      <c r="G17" s="509"/>
      <c r="I17" s="351">
        <v>0.82</v>
      </c>
      <c r="J17" s="351">
        <v>0.84</v>
      </c>
    </row>
    <row r="18" spans="1:15" ht="30" x14ac:dyDescent="0.25">
      <c r="A18" s="586" t="s">
        <v>1082</v>
      </c>
      <c r="B18" s="941"/>
      <c r="C18" s="938"/>
      <c r="D18" s="508"/>
      <c r="E18" s="521"/>
      <c r="F18" s="508"/>
      <c r="G18" s="509"/>
      <c r="I18" s="351">
        <v>0.8</v>
      </c>
      <c r="J18" s="351">
        <v>0.87</v>
      </c>
      <c r="O18" t="s">
        <v>1083</v>
      </c>
    </row>
    <row r="19" spans="1:15" ht="30.75" thickBot="1" x14ac:dyDescent="0.3">
      <c r="A19" s="587" t="s">
        <v>1084</v>
      </c>
      <c r="B19" s="942"/>
      <c r="C19" s="939"/>
      <c r="D19" s="523"/>
      <c r="E19" s="522"/>
      <c r="F19" s="523"/>
      <c r="G19" s="524"/>
      <c r="I19" s="351">
        <v>0.89</v>
      </c>
      <c r="J19" s="351">
        <v>0.88</v>
      </c>
      <c r="O19" t="s">
        <v>1085</v>
      </c>
    </row>
    <row r="20" spans="1:15" x14ac:dyDescent="0.25">
      <c r="A20" s="370" t="s">
        <v>18</v>
      </c>
      <c r="B20" s="1530">
        <f>'Respondent Information'!C6</f>
        <v>0</v>
      </c>
      <c r="C20" s="1531"/>
      <c r="D20" s="1127">
        <f>'Respondent Information'!C9</f>
        <v>0</v>
      </c>
      <c r="E20" s="1129"/>
      <c r="F20" s="1545">
        <f>'Respondent Information'!C12</f>
        <v>0</v>
      </c>
      <c r="G20" s="1129"/>
      <c r="I20" s="351"/>
      <c r="J20" s="351"/>
      <c r="O20" t="s">
        <v>1086</v>
      </c>
    </row>
    <row r="21" spans="1:15" ht="15.75" thickBot="1" x14ac:dyDescent="0.3">
      <c r="A21" s="371" t="s">
        <v>20</v>
      </c>
      <c r="B21" s="1532">
        <f>'Respondent Information'!E6</f>
        <v>0</v>
      </c>
      <c r="C21" s="1533"/>
      <c r="D21" s="1133">
        <f>'Respondent Information'!E9</f>
        <v>0</v>
      </c>
      <c r="E21" s="1135"/>
      <c r="F21" s="1546">
        <f>'Respondent Information'!E12</f>
        <v>0</v>
      </c>
      <c r="G21" s="1135"/>
      <c r="I21" s="351"/>
      <c r="J21" s="351"/>
      <c r="O21" t="s">
        <v>1087</v>
      </c>
    </row>
    <row r="22" spans="1:15" x14ac:dyDescent="0.25">
      <c r="A22" s="371" t="s">
        <v>1271</v>
      </c>
      <c r="B22" s="163"/>
      <c r="C22" s="91"/>
      <c r="D22" s="589"/>
      <c r="E22" s="590"/>
      <c r="F22" s="163"/>
      <c r="G22" s="91"/>
      <c r="I22" s="351" t="s">
        <v>1088</v>
      </c>
      <c r="J22" s="351"/>
      <c r="O22" t="s">
        <v>69</v>
      </c>
    </row>
    <row r="23" spans="1:15" x14ac:dyDescent="0.25">
      <c r="A23" s="214" t="s">
        <v>1089</v>
      </c>
      <c r="B23" s="1524"/>
      <c r="C23" s="1525"/>
      <c r="D23" s="1528"/>
      <c r="E23" s="1529"/>
      <c r="F23" s="1524"/>
      <c r="G23" s="1525"/>
      <c r="I23" s="351">
        <v>0.85</v>
      </c>
      <c r="J23" s="351"/>
      <c r="O23" t="s">
        <v>1090</v>
      </c>
    </row>
    <row r="24" spans="1:15" x14ac:dyDescent="0.25">
      <c r="A24" s="214" t="s">
        <v>1091</v>
      </c>
      <c r="B24" s="1524"/>
      <c r="C24" s="1525"/>
      <c r="D24" s="1524"/>
      <c r="E24" s="1525"/>
      <c r="F24" s="1524"/>
      <c r="G24" s="1525"/>
      <c r="I24" s="351">
        <v>0.84</v>
      </c>
      <c r="J24" s="351"/>
    </row>
    <row r="25" spans="1:15" ht="30.75" thickBot="1" x14ac:dyDescent="0.3">
      <c r="A25" s="215" t="s">
        <v>1092</v>
      </c>
      <c r="B25" s="1526"/>
      <c r="C25" s="1527"/>
      <c r="D25" s="1526"/>
      <c r="E25" s="1527"/>
      <c r="F25" s="1526"/>
      <c r="G25" s="1527"/>
      <c r="I25" s="351">
        <v>0.8</v>
      </c>
      <c r="J25" s="351"/>
    </row>
    <row r="26" spans="1:15" x14ac:dyDescent="0.25">
      <c r="I26" s="351"/>
      <c r="J26" s="351"/>
    </row>
    <row r="27" spans="1:15" ht="21" x14ac:dyDescent="0.35">
      <c r="A27" s="1056" t="s">
        <v>117</v>
      </c>
      <c r="B27" s="1056"/>
    </row>
    <row r="28" spans="1:15" ht="18.75" x14ac:dyDescent="0.3">
      <c r="B28" s="42"/>
      <c r="C28" s="42"/>
      <c r="D28" s="42"/>
    </row>
    <row r="29" spans="1:15" ht="30" x14ac:dyDescent="0.25">
      <c r="A29" s="150" t="s">
        <v>18</v>
      </c>
      <c r="B29" s="150" t="s">
        <v>148</v>
      </c>
      <c r="C29" s="839" t="s">
        <v>1258</v>
      </c>
      <c r="D29" s="657" t="s">
        <v>1093</v>
      </c>
      <c r="E29" s="657" t="s">
        <v>1094</v>
      </c>
    </row>
    <row r="30" spans="1:15" x14ac:dyDescent="0.25">
      <c r="A30" s="1540">
        <f>B10</f>
        <v>0</v>
      </c>
      <c r="B30" s="1096" t="s">
        <v>1095</v>
      </c>
      <c r="C30" s="1096"/>
      <c r="D30" s="1096"/>
      <c r="E30" s="1096"/>
    </row>
    <row r="31" spans="1:15" x14ac:dyDescent="0.25">
      <c r="A31" s="1541"/>
      <c r="B31" s="43" t="s">
        <v>1096</v>
      </c>
      <c r="C31" s="43">
        <v>1</v>
      </c>
      <c r="D31" s="43">
        <f t="shared" ref="D31:E35" si="0">IF(B15&gt;I15, 1, 0)</f>
        <v>0</v>
      </c>
      <c r="E31" s="43">
        <f t="shared" si="0"/>
        <v>0</v>
      </c>
    </row>
    <row r="32" spans="1:15" x14ac:dyDescent="0.25">
      <c r="A32" s="1541"/>
      <c r="B32" s="352" t="s">
        <v>1097</v>
      </c>
      <c r="C32" s="352">
        <v>1</v>
      </c>
      <c r="D32" s="43">
        <f t="shared" si="0"/>
        <v>0</v>
      </c>
      <c r="E32" s="43">
        <f t="shared" si="0"/>
        <v>0</v>
      </c>
    </row>
    <row r="33" spans="1:5" x14ac:dyDescent="0.25">
      <c r="A33" s="1541"/>
      <c r="B33" s="33" t="s">
        <v>1098</v>
      </c>
      <c r="C33" s="33">
        <v>1</v>
      </c>
      <c r="D33" s="43">
        <f t="shared" si="0"/>
        <v>0</v>
      </c>
      <c r="E33" s="43">
        <f t="shared" si="0"/>
        <v>0</v>
      </c>
    </row>
    <row r="34" spans="1:5" x14ac:dyDescent="0.25">
      <c r="A34" s="1541"/>
      <c r="B34" s="33" t="s">
        <v>1099</v>
      </c>
      <c r="C34" s="33">
        <v>1</v>
      </c>
      <c r="D34" s="43">
        <f t="shared" si="0"/>
        <v>0</v>
      </c>
      <c r="E34" s="43">
        <f t="shared" si="0"/>
        <v>0</v>
      </c>
    </row>
    <row r="35" spans="1:5" ht="30" x14ac:dyDescent="0.25">
      <c r="A35" s="1542"/>
      <c r="B35" s="33" t="s">
        <v>1100</v>
      </c>
      <c r="C35" s="33">
        <v>1</v>
      </c>
      <c r="D35" s="43">
        <f t="shared" si="0"/>
        <v>0</v>
      </c>
      <c r="E35" s="43">
        <f t="shared" si="0"/>
        <v>0</v>
      </c>
    </row>
    <row r="36" spans="1:5" x14ac:dyDescent="0.25">
      <c r="A36" s="1521">
        <f>B20</f>
        <v>0</v>
      </c>
      <c r="B36" s="1096" t="s">
        <v>1101</v>
      </c>
      <c r="C36" s="1096"/>
      <c r="D36" s="1096"/>
      <c r="E36" s="1096"/>
    </row>
    <row r="37" spans="1:5" x14ac:dyDescent="0.25">
      <c r="A37" s="1522"/>
      <c r="B37" s="359" t="s">
        <v>148</v>
      </c>
      <c r="C37" s="657" t="s">
        <v>35</v>
      </c>
      <c r="D37" s="1151" t="s">
        <v>34</v>
      </c>
      <c r="E37" s="1149"/>
    </row>
    <row r="38" spans="1:5" x14ac:dyDescent="0.25">
      <c r="A38" s="1522"/>
      <c r="B38" s="33" t="s">
        <v>1102</v>
      </c>
      <c r="C38" s="33">
        <v>1</v>
      </c>
      <c r="D38" s="1557">
        <f>IF(B23&gt;I23, 1, 0)</f>
        <v>0</v>
      </c>
      <c r="E38" s="1558"/>
    </row>
    <row r="39" spans="1:5" ht="30" x14ac:dyDescent="0.25">
      <c r="A39" s="1522"/>
      <c r="B39" s="33" t="s">
        <v>1103</v>
      </c>
      <c r="C39" s="33">
        <v>1</v>
      </c>
      <c r="D39" s="1557">
        <f>IF(B24&gt;I24, 1, 0)</f>
        <v>0</v>
      </c>
      <c r="E39" s="1558"/>
    </row>
    <row r="40" spans="1:5" ht="15.75" thickBot="1" x14ac:dyDescent="0.3">
      <c r="A40" s="1523"/>
      <c r="B40" s="355" t="s">
        <v>1104</v>
      </c>
      <c r="C40" s="355">
        <v>1</v>
      </c>
      <c r="D40" s="1559">
        <f>IF(B25&gt;I25, 1, 0)</f>
        <v>0</v>
      </c>
      <c r="E40" s="1560"/>
    </row>
    <row r="41" spans="1:5" ht="15.75" thickBot="1" x14ac:dyDescent="0.3">
      <c r="A41" s="1536" t="s">
        <v>1105</v>
      </c>
      <c r="B41" s="1537"/>
      <c r="C41" s="1537"/>
      <c r="D41" s="1537"/>
      <c r="E41" s="356">
        <f>SUM(D31:E35,D38:E40)</f>
        <v>0</v>
      </c>
    </row>
    <row r="42" spans="1:5" ht="15.75" thickBot="1" x14ac:dyDescent="0.3">
      <c r="A42" s="1536" t="s">
        <v>1106</v>
      </c>
      <c r="B42" s="1537"/>
      <c r="C42" s="1537"/>
      <c r="D42" s="1537"/>
      <c r="E42" s="356">
        <f>IF(B11="Medicaid", E41, IF(B11="CHIP", E41*0.9, IF(B11="Medicare", E41*0.8, 0)))</f>
        <v>0</v>
      </c>
    </row>
    <row r="43" spans="1:5" ht="30" x14ac:dyDescent="0.25">
      <c r="A43" s="1543">
        <f>D10</f>
        <v>0</v>
      </c>
      <c r="B43" s="150" t="s">
        <v>148</v>
      </c>
      <c r="C43" s="839" t="s">
        <v>1258</v>
      </c>
      <c r="D43" s="657" t="s">
        <v>1093</v>
      </c>
      <c r="E43" s="657" t="s">
        <v>1094</v>
      </c>
    </row>
    <row r="44" spans="1:5" ht="15" customHeight="1" x14ac:dyDescent="0.25">
      <c r="A44" s="1544"/>
      <c r="B44" s="1538" t="s">
        <v>1095</v>
      </c>
      <c r="C44" s="1538"/>
      <c r="D44" s="1538"/>
      <c r="E44" s="1538"/>
    </row>
    <row r="45" spans="1:5" x14ac:dyDescent="0.25">
      <c r="A45" s="1544"/>
      <c r="B45" s="43" t="s">
        <v>1096</v>
      </c>
      <c r="C45" s="43">
        <v>1</v>
      </c>
      <c r="D45" s="43">
        <f>IF(D15&gt;I15, 1, 0)</f>
        <v>0</v>
      </c>
      <c r="E45" s="33">
        <f>IF(E15&gt;J15, 1,0)</f>
        <v>0</v>
      </c>
    </row>
    <row r="46" spans="1:5" x14ac:dyDescent="0.25">
      <c r="A46" s="1544"/>
      <c r="B46" s="352" t="s">
        <v>1097</v>
      </c>
      <c r="C46" s="352">
        <v>1</v>
      </c>
      <c r="D46" s="43">
        <f>IF(D16&gt;I16, 1, 0)</f>
        <v>0</v>
      </c>
      <c r="E46" s="33">
        <f>IF(E16&gt;J16, 1,0)</f>
        <v>0</v>
      </c>
    </row>
    <row r="47" spans="1:5" x14ac:dyDescent="0.25">
      <c r="A47" s="1544"/>
      <c r="B47" s="33" t="s">
        <v>1098</v>
      </c>
      <c r="C47" s="33">
        <v>1</v>
      </c>
      <c r="D47" s="43">
        <f>IF(D17&gt;I17, 1, 0)</f>
        <v>0</v>
      </c>
      <c r="E47" s="33">
        <f>IF(E17&gt;J17, 1,0)</f>
        <v>0</v>
      </c>
    </row>
    <row r="48" spans="1:5" x14ac:dyDescent="0.25">
      <c r="A48" s="1544"/>
      <c r="B48" s="33" t="s">
        <v>1099</v>
      </c>
      <c r="C48" s="33">
        <v>1</v>
      </c>
      <c r="D48" s="43">
        <f>IF(D18&gt;I18, 1, 0)</f>
        <v>0</v>
      </c>
      <c r="E48" s="33">
        <f>IF(E18&gt;J18, 1,0)</f>
        <v>0</v>
      </c>
    </row>
    <row r="49" spans="1:5" ht="30" x14ac:dyDescent="0.25">
      <c r="A49" s="1544"/>
      <c r="B49" s="33" t="s">
        <v>1100</v>
      </c>
      <c r="C49" s="33">
        <v>1</v>
      </c>
      <c r="D49" s="43">
        <f>IF(D19&gt;I19, 1, 0)</f>
        <v>0</v>
      </c>
      <c r="E49" s="33">
        <f>IF(E19&gt;J19, 1,0)</f>
        <v>0</v>
      </c>
    </row>
    <row r="50" spans="1:5" x14ac:dyDescent="0.25">
      <c r="A50" s="1544">
        <f>D20</f>
        <v>0</v>
      </c>
      <c r="B50" s="1096" t="s">
        <v>1101</v>
      </c>
      <c r="C50" s="1096"/>
      <c r="D50" s="1096"/>
      <c r="E50" s="1096"/>
    </row>
    <row r="51" spans="1:5" x14ac:dyDescent="0.25">
      <c r="A51" s="1544"/>
      <c r="B51" s="359" t="s">
        <v>148</v>
      </c>
      <c r="C51" s="657" t="s">
        <v>35</v>
      </c>
      <c r="D51" s="1151" t="s">
        <v>34</v>
      </c>
      <c r="E51" s="1149"/>
    </row>
    <row r="52" spans="1:5" x14ac:dyDescent="0.25">
      <c r="A52" s="1544"/>
      <c r="B52" s="33" t="s">
        <v>1102</v>
      </c>
      <c r="C52" s="33">
        <v>1</v>
      </c>
      <c r="D52" s="1557">
        <f>IF(D23&gt;I23, 1, 0)</f>
        <v>0</v>
      </c>
      <c r="E52" s="1558"/>
    </row>
    <row r="53" spans="1:5" ht="30" x14ac:dyDescent="0.25">
      <c r="A53" s="1544"/>
      <c r="B53" s="33" t="s">
        <v>1103</v>
      </c>
      <c r="C53" s="33">
        <v>1</v>
      </c>
      <c r="D53" s="1557">
        <f>IF(D24&gt;I24, 1, 0)</f>
        <v>0</v>
      </c>
      <c r="E53" s="1558"/>
    </row>
    <row r="54" spans="1:5" ht="15.75" thickBot="1" x14ac:dyDescent="0.3">
      <c r="A54" s="1550"/>
      <c r="B54" s="355" t="s">
        <v>1104</v>
      </c>
      <c r="C54" s="355">
        <v>1</v>
      </c>
      <c r="D54" s="1559">
        <f>IF(D25&gt;I25, 1, 0)</f>
        <v>0</v>
      </c>
      <c r="E54" s="1560"/>
    </row>
    <row r="55" spans="1:5" ht="15.75" thickBot="1" x14ac:dyDescent="0.3">
      <c r="A55" s="1536" t="s">
        <v>1105</v>
      </c>
      <c r="B55" s="1537"/>
      <c r="C55" s="1537"/>
      <c r="D55" s="1537"/>
      <c r="E55" s="356">
        <f>SUM(D45:E49,D52:E54)</f>
        <v>0</v>
      </c>
    </row>
    <row r="56" spans="1:5" ht="15.75" thickBot="1" x14ac:dyDescent="0.3">
      <c r="A56" s="1536" t="s">
        <v>1106</v>
      </c>
      <c r="B56" s="1537"/>
      <c r="C56" s="1537"/>
      <c r="D56" s="1537"/>
      <c r="E56" s="356">
        <f>IF(D11="Medicaid", E55, IF(D11="CHIP", E55*0.9, IF(D11="Medicare", E55*0.8, 0)))</f>
        <v>0</v>
      </c>
    </row>
    <row r="57" spans="1:5" ht="30" x14ac:dyDescent="0.25">
      <c r="A57" s="1543">
        <f>F10</f>
        <v>0</v>
      </c>
      <c r="B57" s="150" t="s">
        <v>148</v>
      </c>
      <c r="C57" s="839" t="s">
        <v>1258</v>
      </c>
      <c r="D57" s="657" t="s">
        <v>1093</v>
      </c>
      <c r="E57" s="657" t="s">
        <v>1094</v>
      </c>
    </row>
    <row r="58" spans="1:5" ht="15" customHeight="1" x14ac:dyDescent="0.25">
      <c r="A58" s="1544"/>
      <c r="B58" s="1538" t="s">
        <v>1095</v>
      </c>
      <c r="C58" s="1538"/>
      <c r="D58" s="1538"/>
      <c r="E58" s="1538"/>
    </row>
    <row r="59" spans="1:5" x14ac:dyDescent="0.25">
      <c r="A59" s="1544"/>
      <c r="B59" s="43" t="s">
        <v>1096</v>
      </c>
      <c r="C59" s="43">
        <v>1</v>
      </c>
      <c r="D59" s="43">
        <f t="shared" ref="D59:E63" si="1">IF(F15&gt;I15, 1, 0)</f>
        <v>0</v>
      </c>
      <c r="E59" s="43">
        <f t="shared" si="1"/>
        <v>0</v>
      </c>
    </row>
    <row r="60" spans="1:5" x14ac:dyDescent="0.25">
      <c r="A60" s="1544"/>
      <c r="B60" s="352" t="s">
        <v>1097</v>
      </c>
      <c r="C60" s="352">
        <v>1</v>
      </c>
      <c r="D60" s="43">
        <f t="shared" si="1"/>
        <v>0</v>
      </c>
      <c r="E60" s="43">
        <f t="shared" si="1"/>
        <v>0</v>
      </c>
    </row>
    <row r="61" spans="1:5" x14ac:dyDescent="0.25">
      <c r="A61" s="1544"/>
      <c r="B61" s="33" t="s">
        <v>1098</v>
      </c>
      <c r="C61" s="33">
        <v>1</v>
      </c>
      <c r="D61" s="43">
        <f t="shared" si="1"/>
        <v>0</v>
      </c>
      <c r="E61" s="43">
        <f t="shared" si="1"/>
        <v>0</v>
      </c>
    </row>
    <row r="62" spans="1:5" x14ac:dyDescent="0.25">
      <c r="A62" s="1544"/>
      <c r="B62" s="33" t="s">
        <v>1099</v>
      </c>
      <c r="C62" s="33">
        <v>1</v>
      </c>
      <c r="D62" s="43">
        <f t="shared" si="1"/>
        <v>0</v>
      </c>
      <c r="E62" s="43">
        <f t="shared" si="1"/>
        <v>0</v>
      </c>
    </row>
    <row r="63" spans="1:5" ht="30" x14ac:dyDescent="0.25">
      <c r="A63" s="1544"/>
      <c r="B63" s="33" t="s">
        <v>1100</v>
      </c>
      <c r="C63" s="33">
        <v>1</v>
      </c>
      <c r="D63" s="43">
        <f t="shared" si="1"/>
        <v>0</v>
      </c>
      <c r="E63" s="43">
        <f t="shared" si="1"/>
        <v>0</v>
      </c>
    </row>
    <row r="64" spans="1:5" x14ac:dyDescent="0.25">
      <c r="A64" s="1544">
        <f>F20</f>
        <v>0</v>
      </c>
      <c r="B64" s="1096" t="s">
        <v>1101</v>
      </c>
      <c r="C64" s="1096"/>
      <c r="D64" s="1096"/>
      <c r="E64" s="1096"/>
    </row>
    <row r="65" spans="1:5" x14ac:dyDescent="0.25">
      <c r="A65" s="1544"/>
      <c r="B65" s="359" t="s">
        <v>148</v>
      </c>
      <c r="C65" s="657" t="s">
        <v>35</v>
      </c>
      <c r="D65" s="1151" t="s">
        <v>34</v>
      </c>
      <c r="E65" s="1149"/>
    </row>
    <row r="66" spans="1:5" x14ac:dyDescent="0.25">
      <c r="A66" s="1544"/>
      <c r="B66" s="33" t="s">
        <v>1102</v>
      </c>
      <c r="C66" s="33">
        <v>1</v>
      </c>
      <c r="D66" s="1557">
        <f>IF(F23&gt;I23, 1, 0)</f>
        <v>0</v>
      </c>
      <c r="E66" s="1558"/>
    </row>
    <row r="67" spans="1:5" ht="30" x14ac:dyDescent="0.25">
      <c r="A67" s="1544"/>
      <c r="B67" s="33" t="s">
        <v>1103</v>
      </c>
      <c r="C67" s="33">
        <v>1</v>
      </c>
      <c r="D67" s="1557">
        <f>IF(F24&gt;I24, 1, 0)</f>
        <v>0</v>
      </c>
      <c r="E67" s="1558"/>
    </row>
    <row r="68" spans="1:5" x14ac:dyDescent="0.25">
      <c r="A68" s="1544"/>
      <c r="B68" s="355" t="s">
        <v>1104</v>
      </c>
      <c r="C68" s="355">
        <v>1</v>
      </c>
      <c r="D68" s="1547">
        <f>IF(F25&gt;I25, 1, 0)</f>
        <v>0</v>
      </c>
      <c r="E68" s="1548"/>
    </row>
    <row r="69" spans="1:5" x14ac:dyDescent="0.25">
      <c r="A69" s="1549" t="s">
        <v>1105</v>
      </c>
      <c r="B69" s="1549"/>
      <c r="C69" s="1549"/>
      <c r="D69" s="1549"/>
      <c r="E69" s="33">
        <f>SUM(D59:E63,D66:E68)</f>
        <v>0</v>
      </c>
    </row>
    <row r="70" spans="1:5" ht="15.75" thickBot="1" x14ac:dyDescent="0.3">
      <c r="A70" s="1539" t="s">
        <v>1106</v>
      </c>
      <c r="B70" s="1539"/>
      <c r="C70" s="1539"/>
      <c r="D70" s="1539"/>
      <c r="E70" s="355">
        <f>IF(F11="Medicaid", E69, IF(F11="CHIP", E69*0.9, IF(F11="Medicare", E69*0.8, 0)))</f>
        <v>0</v>
      </c>
    </row>
    <row r="71" spans="1:5" ht="15.75" thickBot="1" x14ac:dyDescent="0.3">
      <c r="A71" s="1536" t="s">
        <v>128</v>
      </c>
      <c r="B71" s="1537"/>
      <c r="C71" s="1537"/>
      <c r="D71" s="1537"/>
      <c r="E71" s="356">
        <f>SUM(E69,E55,E41)</f>
        <v>0</v>
      </c>
    </row>
    <row r="72" spans="1:5" ht="15.75" thickBot="1" x14ac:dyDescent="0.3">
      <c r="A72" s="1536" t="s">
        <v>1107</v>
      </c>
      <c r="B72" s="1537"/>
      <c r="C72" s="1537"/>
      <c r="D72" s="1537"/>
      <c r="E72" s="595">
        <f>E42+E56+E70</f>
        <v>0</v>
      </c>
    </row>
    <row r="73" spans="1:5" ht="15.75" thickBot="1" x14ac:dyDescent="0.3">
      <c r="A73" s="1534" t="s">
        <v>1108</v>
      </c>
      <c r="B73" s="1535"/>
      <c r="C73" s="1535"/>
      <c r="D73" s="1535"/>
      <c r="E73" s="357">
        <f>E72/39</f>
        <v>0</v>
      </c>
    </row>
    <row r="74" spans="1:5" ht="15.75" thickBot="1" x14ac:dyDescent="0.3">
      <c r="A74" s="1536" t="s">
        <v>1109</v>
      </c>
      <c r="B74" s="1537"/>
      <c r="C74" s="1537"/>
      <c r="D74" s="1537"/>
      <c r="E74" s="358">
        <f>ROUNDDOWN(E73*100,0)</f>
        <v>0</v>
      </c>
    </row>
    <row r="75" spans="1:5" x14ac:dyDescent="0.25">
      <c r="A75" s="17"/>
      <c r="B75" s="17"/>
      <c r="C75" s="17"/>
      <c r="D75" s="17"/>
      <c r="E75" s="17"/>
    </row>
    <row r="76" spans="1:5" x14ac:dyDescent="0.25">
      <c r="A76" s="17"/>
      <c r="B76" s="17"/>
      <c r="C76" s="17"/>
      <c r="D76" s="17"/>
      <c r="E76" s="17"/>
    </row>
    <row r="77" spans="1:5" x14ac:dyDescent="0.25">
      <c r="A77" s="17"/>
      <c r="B77" s="17"/>
      <c r="C77" s="17"/>
      <c r="D77" s="17"/>
      <c r="E77" s="17"/>
    </row>
    <row r="78" spans="1:5" x14ac:dyDescent="0.25">
      <c r="A78" s="17"/>
      <c r="B78" s="17"/>
      <c r="C78" s="17"/>
      <c r="D78" s="17"/>
      <c r="E78" s="17"/>
    </row>
    <row r="79" spans="1:5" x14ac:dyDescent="0.25">
      <c r="A79" s="17"/>
      <c r="B79" s="17"/>
      <c r="C79" s="17"/>
      <c r="D79" s="17"/>
      <c r="E79" s="17"/>
    </row>
    <row r="80" spans="1:5" x14ac:dyDescent="0.25">
      <c r="A80" s="17"/>
      <c r="B80" s="17"/>
      <c r="C80" s="17"/>
      <c r="D80" s="17"/>
      <c r="E80" s="17"/>
    </row>
    <row r="81" spans="1:5" x14ac:dyDescent="0.25">
      <c r="A81" s="17"/>
      <c r="B81" s="17"/>
      <c r="C81" s="17"/>
      <c r="D81" s="17"/>
      <c r="E81" s="17"/>
    </row>
    <row r="82" spans="1:5" x14ac:dyDescent="0.25">
      <c r="A82" s="17"/>
      <c r="B82" s="17"/>
      <c r="C82" s="17"/>
      <c r="D82" s="17"/>
      <c r="E82" s="17"/>
    </row>
    <row r="83" spans="1:5" x14ac:dyDescent="0.25">
      <c r="A83" s="17"/>
      <c r="B83" s="17"/>
      <c r="C83" s="17"/>
      <c r="D83" s="17"/>
      <c r="E83" s="17"/>
    </row>
    <row r="84" spans="1:5" x14ac:dyDescent="0.25">
      <c r="A84" s="17"/>
      <c r="B84" s="17"/>
      <c r="C84" s="17"/>
      <c r="D84" s="17"/>
      <c r="E84" s="17"/>
    </row>
    <row r="85" spans="1:5" x14ac:dyDescent="0.25">
      <c r="A85" s="17"/>
      <c r="B85" s="17"/>
      <c r="C85" s="17"/>
      <c r="D85" s="17"/>
      <c r="E85" s="17"/>
    </row>
    <row r="86" spans="1:5" x14ac:dyDescent="0.25">
      <c r="A86" s="17"/>
      <c r="B86" s="17"/>
      <c r="C86" s="17"/>
      <c r="D86" s="17"/>
      <c r="E86" s="17"/>
    </row>
    <row r="87" spans="1:5" x14ac:dyDescent="0.25">
      <c r="A87" s="17"/>
      <c r="B87" s="17"/>
      <c r="C87" s="17"/>
      <c r="D87" s="17"/>
      <c r="E87" s="17"/>
    </row>
    <row r="88" spans="1:5" x14ac:dyDescent="0.25">
      <c r="A88" s="17"/>
      <c r="B88" s="17"/>
      <c r="C88" s="17"/>
      <c r="D88" s="17"/>
      <c r="E88" s="17"/>
    </row>
    <row r="89" spans="1:5" x14ac:dyDescent="0.25">
      <c r="A89" s="17"/>
      <c r="B89" s="17"/>
      <c r="C89" s="17"/>
      <c r="D89" s="17"/>
      <c r="E89" s="17"/>
    </row>
    <row r="90" spans="1:5" x14ac:dyDescent="0.25">
      <c r="A90" s="17"/>
      <c r="B90" s="17"/>
      <c r="C90" s="17"/>
      <c r="D90" s="17"/>
      <c r="E90" s="17"/>
    </row>
    <row r="91" spans="1:5" x14ac:dyDescent="0.25">
      <c r="A91" s="17"/>
      <c r="B91" s="17"/>
      <c r="C91" s="17"/>
      <c r="D91" s="17"/>
      <c r="E91" s="17"/>
    </row>
    <row r="92" spans="1:5" x14ac:dyDescent="0.25">
      <c r="A92" s="17"/>
      <c r="B92" s="17"/>
      <c r="C92" s="17"/>
      <c r="D92" s="17"/>
      <c r="E92" s="17"/>
    </row>
    <row r="93" spans="1:5" x14ac:dyDescent="0.25">
      <c r="A93" s="17"/>
      <c r="B93" s="17"/>
      <c r="C93" s="17"/>
      <c r="D93" s="17"/>
      <c r="E93" s="17"/>
    </row>
    <row r="122" spans="2:3" hidden="1" x14ac:dyDescent="0.25">
      <c r="B122" t="s">
        <v>66</v>
      </c>
      <c r="C122" t="s">
        <v>1083</v>
      </c>
    </row>
    <row r="123" spans="2:3" hidden="1" x14ac:dyDescent="0.25">
      <c r="B123" t="s">
        <v>69</v>
      </c>
      <c r="C123" t="s">
        <v>1085</v>
      </c>
    </row>
    <row r="124" spans="2:3" hidden="1" x14ac:dyDescent="0.25">
      <c r="B124" t="s">
        <v>1090</v>
      </c>
      <c r="C124" t="s">
        <v>1086</v>
      </c>
    </row>
    <row r="125" spans="2:3" hidden="1" x14ac:dyDescent="0.25">
      <c r="C125" t="s">
        <v>1087</v>
      </c>
    </row>
    <row r="126" spans="2:3" hidden="1" x14ac:dyDescent="0.25">
      <c r="C126" t="s">
        <v>69</v>
      </c>
    </row>
    <row r="127" spans="2:3" hidden="1" x14ac:dyDescent="0.25">
      <c r="C127" t="s">
        <v>1090</v>
      </c>
    </row>
  </sheetData>
  <sheetProtection algorithmName="SHA-512" hashValue="OHWhYlpFpxrJCsAdsIR5xAGFaBhxZyHh+EZHHrvPE9ZMtJTykwq3gLJRst35ap596yWZN+7dyPly4GcSMscNgg==" saltValue="3KFVNUdZFL4gR0d8bJp99g==" spinCount="100000" sheet="1" objects="1" scenarios="1"/>
  <protectedRanges>
    <protectedRange algorithmName="SHA-512" hashValue="MlKkcEJ6D+Buka1NxLwxE6HXihv/zjx+XJvp0aYeewOjEfDccW1ZmSawpWOxXngPxjXgPS3MCnHXV3b1MxP3Eg==" saltValue="9kpuE+6wesGFE2L0t4pzKA==" spinCount="100000" sqref="B23:G25" name="Range2"/>
    <protectedRange algorithmName="SHA-512" hashValue="6ZVEKbucmuZm6vge0AXydHIZeK9p1Ctl/ev+ULKyh3MdFIaBZ6ggOfJMmprabmhte/Szlbc3lNovPpjvg4d1rQ==" saltValue="3rJuzsE3R2MKu/srTRDyVA==" spinCount="100000" sqref="B15:G19" name="Range1"/>
  </protectedRanges>
  <mergeCells count="58">
    <mergeCell ref="A11:A12"/>
    <mergeCell ref="B11:C12"/>
    <mergeCell ref="D11:E12"/>
    <mergeCell ref="F11:G12"/>
    <mergeCell ref="A74:D74"/>
    <mergeCell ref="D37:E37"/>
    <mergeCell ref="D38:E38"/>
    <mergeCell ref="D39:E39"/>
    <mergeCell ref="D40:E40"/>
    <mergeCell ref="D51:E51"/>
    <mergeCell ref="D52:E52"/>
    <mergeCell ref="D53:E53"/>
    <mergeCell ref="D54:E54"/>
    <mergeCell ref="D65:E65"/>
    <mergeCell ref="D66:E66"/>
    <mergeCell ref="D67:E67"/>
    <mergeCell ref="A69:D69"/>
    <mergeCell ref="A71:D71"/>
    <mergeCell ref="A50:A54"/>
    <mergeCell ref="A56:D56"/>
    <mergeCell ref="A57:A63"/>
    <mergeCell ref="F20:G20"/>
    <mergeCell ref="F21:G21"/>
    <mergeCell ref="D20:E20"/>
    <mergeCell ref="D21:E21"/>
    <mergeCell ref="D68:E68"/>
    <mergeCell ref="A73:D73"/>
    <mergeCell ref="B25:C25"/>
    <mergeCell ref="B50:E50"/>
    <mergeCell ref="A55:D55"/>
    <mergeCell ref="B58:E58"/>
    <mergeCell ref="B64:E64"/>
    <mergeCell ref="A41:D41"/>
    <mergeCell ref="B36:E36"/>
    <mergeCell ref="A27:B27"/>
    <mergeCell ref="A70:D70"/>
    <mergeCell ref="A72:D72"/>
    <mergeCell ref="A42:D42"/>
    <mergeCell ref="A30:A35"/>
    <mergeCell ref="A43:A49"/>
    <mergeCell ref="B44:E44"/>
    <mergeCell ref="A64:A68"/>
    <mergeCell ref="F1:G1"/>
    <mergeCell ref="B10:C10"/>
    <mergeCell ref="D10:E10"/>
    <mergeCell ref="F10:G10"/>
    <mergeCell ref="A36:A40"/>
    <mergeCell ref="F23:G23"/>
    <mergeCell ref="F24:G24"/>
    <mergeCell ref="F25:G25"/>
    <mergeCell ref="B30:E30"/>
    <mergeCell ref="B23:C23"/>
    <mergeCell ref="B24:C24"/>
    <mergeCell ref="D23:E23"/>
    <mergeCell ref="D24:E24"/>
    <mergeCell ref="D25:E25"/>
    <mergeCell ref="B20:C20"/>
    <mergeCell ref="B21:C21"/>
  </mergeCells>
  <dataValidations count="1">
    <dataValidation type="decimal" allowBlank="1" showInputMessage="1" showErrorMessage="1" sqref="B23:G25 B15:G19" xr:uid="{945DD46E-7D93-4A50-A1DF-1E0C191201B6}">
      <formula1>0</formula1>
      <formula2>1</formula2>
    </dataValidation>
  </dataValidations>
  <hyperlinks>
    <hyperlink ref="F1" location="'Respondent Information'!A1" display="Back to Respondent Information" xr:uid="{B26E09E3-B069-4B5A-908F-0BB24F3F5602}"/>
  </hyperlinks>
  <pageMargins left="0.7" right="0.7" top="0.75" bottom="0.75" header="0.3" footer="0.3"/>
  <pageSetup scale="73" fitToHeight="0" orientation="landscape" r:id="rId1"/>
  <headerFooter>
    <oddHeader>&amp;C&amp;"Arial,Bold"&amp;14EXHIBIT A-5-a-V3
SUBMISSION REQUIREMENTS AND EVALUATION RESPONSE TEMPLATE</oddHeader>
    <oddFooter>&amp;C&amp;"Arial,Bold"AHCA ITN 010-22/23, Attachment A, Exhibit A-5-a-V3, Page &amp;P of &amp;N</oddFooter>
  </headerFooter>
  <drawing r:id="rId2"/>
  <tableParts count="1">
    <tablePart r:id="rId3"/>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D43FD-AF8E-466A-AEA7-49276481D8C2}">
  <sheetPr codeName="Sheet52">
    <tabColor rgb="FFFF0000"/>
  </sheetPr>
  <dimension ref="A1:I4"/>
  <sheetViews>
    <sheetView zoomScaleNormal="100" workbookViewId="0"/>
  </sheetViews>
  <sheetFormatPr defaultRowHeight="15" x14ac:dyDescent="0.25"/>
  <cols>
    <col min="1" max="1" width="9.140625" customWidth="1"/>
    <col min="8" max="8" width="25.140625" customWidth="1"/>
    <col min="9" max="9" width="36.28515625" customWidth="1"/>
  </cols>
  <sheetData>
    <row r="1" spans="1:9" ht="23.25" x14ac:dyDescent="0.35">
      <c r="A1" s="706" t="s">
        <v>1110</v>
      </c>
      <c r="B1" s="706"/>
      <c r="C1" s="706"/>
      <c r="D1" s="706"/>
      <c r="E1" s="706"/>
      <c r="F1" s="706"/>
      <c r="G1" s="706"/>
      <c r="H1" s="706"/>
      <c r="I1" s="706"/>
    </row>
    <row r="2" spans="1:9" ht="23.25" x14ac:dyDescent="0.35">
      <c r="A2" s="706" t="s">
        <v>133</v>
      </c>
      <c r="B2" s="706"/>
      <c r="C2" s="706"/>
      <c r="D2" s="706"/>
      <c r="E2" s="706"/>
      <c r="F2" s="706"/>
      <c r="G2" s="706"/>
      <c r="H2" s="706"/>
      <c r="I2" s="706"/>
    </row>
    <row r="4" spans="1:9" x14ac:dyDescent="0.25">
      <c r="A4" s="1083" t="s">
        <v>82</v>
      </c>
      <c r="B4" s="1083"/>
      <c r="C4" s="1083"/>
      <c r="D4" s="1083"/>
    </row>
  </sheetData>
  <sheetProtection algorithmName="SHA-512" hashValue="YVR7TERKQe1pIUJhb2oRp2gtPAw/HzHzreH+nMqjTOxYPMtsCccJaIz09gIwmLG9umuFXuEftR6sxf3cZ41MvA==" saltValue="d5nyEPMNzZeWfCpt3Cd8aw==" spinCount="100000" sheet="1" objects="1" scenarios="1"/>
  <mergeCells count="1">
    <mergeCell ref="A4:D4"/>
  </mergeCells>
  <hyperlinks>
    <hyperlink ref="A4" location="'Respondent Information'!A1" display="Back to Respondent Information" xr:uid="{9388631D-AD6D-4E46-984B-6548C8EC634A}"/>
  </hyperlinks>
  <pageMargins left="0.7" right="0.7" top="0.75" bottom="0.75" header="0.3" footer="0.3"/>
  <pageSetup orientation="portrait" r:id="rId1"/>
  <headerFooter>
    <oddHeader>&amp;C&amp;"Arial,Bold"&amp;14EXHIBIT A-5-a-V3
SUBMISSION REQUIREMENTS AND EVALUATION RESPONSE TEMPLATE</oddHeader>
    <oddFooter>&amp;C&amp;"Arial,Bold"AHCA ITN 010-22/23, Attachment A, Exhibit A-5-a-V3, Page &amp;P of &amp;N</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CEF5C-3DE2-4475-9B53-8C9DC70448D6}">
  <sheetPr codeName="Sheet53">
    <tabColor rgb="FFFF0000"/>
    <pageSetUpPr fitToPage="1"/>
  </sheetPr>
  <dimension ref="A1:L45"/>
  <sheetViews>
    <sheetView workbookViewId="0">
      <selection activeCell="D1" sqref="D1"/>
    </sheetView>
  </sheetViews>
  <sheetFormatPr defaultRowHeight="15" x14ac:dyDescent="0.25"/>
  <cols>
    <col min="1" max="1" width="54.140625" customWidth="1"/>
    <col min="2" max="2" width="19.28515625" bestFit="1" customWidth="1"/>
    <col min="3" max="3" width="50.140625" customWidth="1"/>
    <col min="4" max="4" width="28.140625" customWidth="1"/>
    <col min="5" max="5" width="27.5703125" customWidth="1"/>
    <col min="6" max="6" width="44.42578125" customWidth="1"/>
    <col min="7" max="9" width="12.7109375" customWidth="1"/>
    <col min="10" max="10" width="12.7109375" hidden="1" customWidth="1"/>
    <col min="11" max="12" width="9.140625" hidden="1" customWidth="1"/>
  </cols>
  <sheetData>
    <row r="1" spans="1:11" ht="23.25" x14ac:dyDescent="0.35">
      <c r="A1" s="691" t="s">
        <v>1110</v>
      </c>
      <c r="D1" s="701" t="s">
        <v>82</v>
      </c>
      <c r="E1" s="643"/>
    </row>
    <row r="2" spans="1:11" ht="28.5" x14ac:dyDescent="0.45">
      <c r="A2" s="14"/>
    </row>
    <row r="3" spans="1:11" x14ac:dyDescent="0.25">
      <c r="A3" s="692" t="s">
        <v>84</v>
      </c>
      <c r="B3" s="692" t="s">
        <v>85</v>
      </c>
    </row>
    <row r="4" spans="1:11" x14ac:dyDescent="0.25">
      <c r="A4" s="934" t="s">
        <v>87</v>
      </c>
      <c r="B4" s="935">
        <v>15</v>
      </c>
    </row>
    <row r="5" spans="1:11" x14ac:dyDescent="0.25">
      <c r="A5" s="934" t="s">
        <v>88</v>
      </c>
      <c r="B5" s="935">
        <f t="shared" ref="B5" si="0">C45</f>
        <v>0</v>
      </c>
      <c r="C5" s="111"/>
      <c r="D5" s="111"/>
      <c r="E5" s="111"/>
      <c r="F5" s="110"/>
      <c r="G5" s="111"/>
      <c r="H5" s="110"/>
      <c r="I5" s="110"/>
    </row>
    <row r="6" spans="1:11" x14ac:dyDescent="0.25">
      <c r="A6" s="934" t="s">
        <v>89</v>
      </c>
      <c r="B6" s="936">
        <f>B5/B4</f>
        <v>0</v>
      </c>
      <c r="C6" s="111"/>
      <c r="D6" s="111"/>
      <c r="E6" s="111"/>
      <c r="F6" s="110"/>
      <c r="G6" s="111"/>
      <c r="H6" s="110"/>
      <c r="I6" s="110"/>
    </row>
    <row r="7" spans="1:11" x14ac:dyDescent="0.25">
      <c r="A7" s="934" t="s">
        <v>135</v>
      </c>
      <c r="B7" s="935">
        <v>75</v>
      </c>
      <c r="C7" s="111"/>
      <c r="D7" s="111"/>
      <c r="E7" s="111"/>
      <c r="F7" s="110"/>
      <c r="G7" s="111"/>
      <c r="H7" s="110"/>
      <c r="I7" s="110"/>
    </row>
    <row r="8" spans="1:11" x14ac:dyDescent="0.25">
      <c r="A8" s="934" t="s">
        <v>1111</v>
      </c>
      <c r="B8" s="937">
        <f>B6*B7</f>
        <v>0</v>
      </c>
      <c r="C8" s="111"/>
      <c r="D8" s="111"/>
      <c r="E8" s="111"/>
      <c r="F8" s="110"/>
      <c r="G8" s="111"/>
      <c r="H8" s="110"/>
      <c r="I8" s="110"/>
    </row>
    <row r="9" spans="1:11" ht="15.75" thickBot="1" x14ac:dyDescent="0.3">
      <c r="A9" s="142"/>
      <c r="C9" s="111"/>
      <c r="D9" s="111"/>
      <c r="E9" s="111"/>
      <c r="F9" s="110"/>
      <c r="G9" s="111"/>
      <c r="H9" s="110"/>
      <c r="I9" s="110"/>
    </row>
    <row r="10" spans="1:11" ht="15.75" thickBot="1" x14ac:dyDescent="0.3">
      <c r="A10" s="396"/>
      <c r="B10" s="705" t="s">
        <v>18</v>
      </c>
      <c r="C10" s="294" t="s">
        <v>19</v>
      </c>
      <c r="D10" s="291"/>
      <c r="E10" s="291"/>
      <c r="F10" s="111"/>
      <c r="G10" s="110"/>
      <c r="H10" s="110"/>
    </row>
    <row r="11" spans="1:11" ht="15.75" thickBot="1" x14ac:dyDescent="0.3">
      <c r="A11" s="397" t="s">
        <v>1112</v>
      </c>
      <c r="B11" s="842">
        <f>'Respondent Information'!C6</f>
        <v>0</v>
      </c>
      <c r="C11" s="871">
        <f>'Respondent Information'!D6</f>
        <v>0</v>
      </c>
      <c r="D11" s="870"/>
      <c r="E11" s="870"/>
      <c r="F11" s="111"/>
      <c r="G11" s="110"/>
      <c r="H11" s="110"/>
      <c r="J11" t="s">
        <v>66</v>
      </c>
    </row>
    <row r="12" spans="1:11" ht="15.75" thickBot="1" x14ac:dyDescent="0.3">
      <c r="A12" s="142"/>
      <c r="C12" s="111"/>
      <c r="D12" s="111"/>
      <c r="E12" s="111"/>
      <c r="F12" s="110"/>
      <c r="J12" t="s">
        <v>69</v>
      </c>
      <c r="K12" t="s">
        <v>1113</v>
      </c>
    </row>
    <row r="13" spans="1:11" ht="21.75" thickBot="1" x14ac:dyDescent="0.4">
      <c r="A13" s="1561" t="s">
        <v>1114</v>
      </c>
      <c r="B13" s="1562"/>
      <c r="C13" s="1562"/>
      <c r="D13" s="1562"/>
      <c r="E13" s="1562"/>
      <c r="F13" s="1563"/>
      <c r="J13" t="s">
        <v>72</v>
      </c>
      <c r="K13" t="s">
        <v>1115</v>
      </c>
    </row>
    <row r="14" spans="1:11" ht="45" x14ac:dyDescent="0.25">
      <c r="A14" s="299" t="s">
        <v>1116</v>
      </c>
      <c r="B14" s="704" t="s">
        <v>1117</v>
      </c>
      <c r="C14" s="704" t="s">
        <v>1118</v>
      </c>
      <c r="D14" s="704" t="s">
        <v>1119</v>
      </c>
      <c r="E14" s="704" t="s">
        <v>1120</v>
      </c>
      <c r="F14" s="300" t="s">
        <v>1121</v>
      </c>
      <c r="K14" t="s">
        <v>1122</v>
      </c>
    </row>
    <row r="15" spans="1:11" x14ac:dyDescent="0.25">
      <c r="A15" s="924"/>
      <c r="B15" s="486"/>
      <c r="C15" s="486"/>
      <c r="D15" s="548"/>
      <c r="E15" s="548"/>
      <c r="F15" s="925"/>
      <c r="K15" t="s">
        <v>1123</v>
      </c>
    </row>
    <row r="16" spans="1:11" x14ac:dyDescent="0.25">
      <c r="A16" s="924"/>
      <c r="B16" s="486"/>
      <c r="C16" s="486"/>
      <c r="D16" s="548"/>
      <c r="E16" s="548"/>
      <c r="F16" s="925"/>
      <c r="K16" t="s">
        <v>1124</v>
      </c>
    </row>
    <row r="17" spans="1:6" x14ac:dyDescent="0.25">
      <c r="A17" s="924"/>
      <c r="B17" s="486"/>
      <c r="C17" s="486"/>
      <c r="D17" s="548"/>
      <c r="E17" s="548"/>
      <c r="F17" s="925"/>
    </row>
    <row r="18" spans="1:6" x14ac:dyDescent="0.25">
      <c r="A18" s="924"/>
      <c r="B18" s="486"/>
      <c r="C18" s="486"/>
      <c r="D18" s="548"/>
      <c r="E18" s="548"/>
      <c r="F18" s="925"/>
    </row>
    <row r="19" spans="1:6" x14ac:dyDescent="0.25">
      <c r="A19" s="924"/>
      <c r="B19" s="486"/>
      <c r="C19" s="486"/>
      <c r="D19" s="548"/>
      <c r="E19" s="548"/>
      <c r="F19" s="925"/>
    </row>
    <row r="20" spans="1:6" x14ac:dyDescent="0.25">
      <c r="A20" s="924"/>
      <c r="B20" s="486"/>
      <c r="C20" s="486"/>
      <c r="D20" s="548"/>
      <c r="E20" s="548"/>
      <c r="F20" s="925"/>
    </row>
    <row r="21" spans="1:6" x14ac:dyDescent="0.25">
      <c r="A21" s="924"/>
      <c r="B21" s="486"/>
      <c r="C21" s="486"/>
      <c r="D21" s="548"/>
      <c r="E21" s="548"/>
      <c r="F21" s="925"/>
    </row>
    <row r="22" spans="1:6" x14ac:dyDescent="0.25">
      <c r="A22" s="924"/>
      <c r="B22" s="486"/>
      <c r="C22" s="486"/>
      <c r="D22" s="548"/>
      <c r="E22" s="548"/>
      <c r="F22" s="925"/>
    </row>
    <row r="23" spans="1:6" x14ac:dyDescent="0.25">
      <c r="A23" s="924"/>
      <c r="B23" s="486"/>
      <c r="C23" s="486"/>
      <c r="D23" s="548"/>
      <c r="E23" s="548"/>
      <c r="F23" s="925"/>
    </row>
    <row r="24" spans="1:6" x14ac:dyDescent="0.25">
      <c r="A24" s="924"/>
      <c r="B24" s="486"/>
      <c r="C24" s="486"/>
      <c r="D24" s="548"/>
      <c r="E24" s="548"/>
      <c r="F24" s="925"/>
    </row>
    <row r="25" spans="1:6" x14ac:dyDescent="0.25">
      <c r="A25" s="924"/>
      <c r="B25" s="486"/>
      <c r="C25" s="486"/>
      <c r="D25" s="548"/>
      <c r="E25" s="548"/>
      <c r="F25" s="925"/>
    </row>
    <row r="26" spans="1:6" x14ac:dyDescent="0.25">
      <c r="A26" s="924"/>
      <c r="B26" s="486"/>
      <c r="C26" s="486"/>
      <c r="D26" s="548"/>
      <c r="E26" s="548"/>
      <c r="F26" s="925"/>
    </row>
    <row r="27" spans="1:6" x14ac:dyDescent="0.25">
      <c r="A27" s="924"/>
      <c r="B27" s="486"/>
      <c r="C27" s="486"/>
      <c r="D27" s="548"/>
      <c r="E27" s="548"/>
      <c r="F27" s="925"/>
    </row>
    <row r="28" spans="1:6" x14ac:dyDescent="0.25">
      <c r="A28" s="924"/>
      <c r="B28" s="486"/>
      <c r="C28" s="486"/>
      <c r="D28" s="548"/>
      <c r="E28" s="548"/>
      <c r="F28" s="925"/>
    </row>
    <row r="29" spans="1:6" x14ac:dyDescent="0.25">
      <c r="A29" s="924"/>
      <c r="B29" s="486"/>
      <c r="C29" s="486"/>
      <c r="D29" s="548"/>
      <c r="E29" s="548"/>
      <c r="F29" s="925"/>
    </row>
    <row r="30" spans="1:6" x14ac:dyDescent="0.25">
      <c r="A30" s="924"/>
      <c r="B30" s="486"/>
      <c r="C30" s="486"/>
      <c r="D30" s="548"/>
      <c r="E30" s="548"/>
      <c r="F30" s="925"/>
    </row>
    <row r="31" spans="1:6" x14ac:dyDescent="0.25">
      <c r="A31" s="924"/>
      <c r="B31" s="486"/>
      <c r="C31" s="486"/>
      <c r="D31" s="548"/>
      <c r="E31" s="548"/>
      <c r="F31" s="925"/>
    </row>
    <row r="32" spans="1:6" x14ac:dyDescent="0.25">
      <c r="A32" s="926"/>
      <c r="B32" s="918"/>
      <c r="C32" s="486"/>
      <c r="D32" s="927"/>
      <c r="E32" s="927"/>
      <c r="F32" s="928"/>
    </row>
    <row r="33" spans="1:6" x14ac:dyDescent="0.25">
      <c r="A33" s="926"/>
      <c r="B33" s="918"/>
      <c r="C33" s="486"/>
      <c r="D33" s="927"/>
      <c r="E33" s="927"/>
      <c r="F33" s="928"/>
    </row>
    <row r="34" spans="1:6" s="17" customFormat="1" x14ac:dyDescent="0.25">
      <c r="A34" s="929"/>
      <c r="B34" s="930"/>
      <c r="C34" s="931"/>
      <c r="D34" s="932"/>
      <c r="E34" s="932"/>
      <c r="F34" s="933"/>
    </row>
    <row r="35" spans="1:6" ht="15" customHeight="1" thickBot="1" x14ac:dyDescent="0.3">
      <c r="A35" s="1438" t="s">
        <v>1125</v>
      </c>
      <c r="B35" s="1438"/>
      <c r="C35" s="1438"/>
      <c r="D35" s="568">
        <f>IF(ISERROR(AVERAGE(D15:D34)), 0, AVERAGE(D15:D34))</f>
        <v>0</v>
      </c>
      <c r="E35" s="568">
        <f>IF(ISERROR(AVERAGE(E15:E34)), 0, AVERAGE(E15:E34))</f>
        <v>0</v>
      </c>
      <c r="F35" s="770">
        <f>IF(ISERROR(AVERAGE(F15:F34)), 0,AVERAGE(F15:F34))</f>
        <v>0</v>
      </c>
    </row>
    <row r="36" spans="1:6" ht="21.75" thickBot="1" x14ac:dyDescent="0.4">
      <c r="A36" s="1564" t="s">
        <v>1253</v>
      </c>
      <c r="B36" s="1565"/>
      <c r="C36" s="1565"/>
      <c r="D36" s="1565"/>
      <c r="E36" s="1565"/>
      <c r="F36" s="1566"/>
    </row>
    <row r="37" spans="1:6" ht="45" x14ac:dyDescent="0.25">
      <c r="A37" s="293" t="s">
        <v>1126</v>
      </c>
      <c r="B37" s="1567" t="s">
        <v>1282</v>
      </c>
      <c r="C37" s="1567"/>
      <c r="D37" s="705" t="s">
        <v>1280</v>
      </c>
      <c r="E37" s="705" t="s">
        <v>1281</v>
      </c>
      <c r="F37" s="294" t="s">
        <v>1254</v>
      </c>
    </row>
    <row r="38" spans="1:6" ht="15.75" thickBot="1" x14ac:dyDescent="0.3">
      <c r="A38" s="843">
        <f>B11</f>
        <v>0</v>
      </c>
      <c r="B38" s="1269"/>
      <c r="C38" s="1269"/>
      <c r="D38" s="673"/>
      <c r="E38" s="673"/>
      <c r="F38" s="301">
        <f>IF(ISERROR((B38/((D38+E38)/2))), 0, (B38/((D38+E38)/2)))</f>
        <v>0</v>
      </c>
    </row>
    <row r="39" spans="1:6" ht="21" x14ac:dyDescent="0.35">
      <c r="A39" s="1056" t="s">
        <v>117</v>
      </c>
      <c r="B39" s="1056"/>
    </row>
    <row r="40" spans="1:6" ht="15.75" thickBot="1" x14ac:dyDescent="0.3"/>
    <row r="41" spans="1:6" x14ac:dyDescent="0.25">
      <c r="A41" s="146" t="s">
        <v>148</v>
      </c>
      <c r="B41" s="147" t="s">
        <v>149</v>
      </c>
      <c r="C41" s="148" t="s">
        <v>34</v>
      </c>
      <c r="F41" s="17"/>
    </row>
    <row r="42" spans="1:6" ht="30" x14ac:dyDescent="0.25">
      <c r="A42" s="125" t="s">
        <v>1119</v>
      </c>
      <c r="B42" s="702">
        <v>5</v>
      </c>
      <c r="C42" s="117">
        <f>IF(D35&gt;=5, 5, (IF(D35&gt;=3, 3, IF(D35&gt;=1, 1, 0))))</f>
        <v>0</v>
      </c>
    </row>
    <row r="43" spans="1:6" x14ac:dyDescent="0.25">
      <c r="A43" s="125" t="s">
        <v>1120</v>
      </c>
      <c r="B43" s="702">
        <v>5</v>
      </c>
      <c r="C43" s="26">
        <f>IF(E35&gt;=5, 5, (IF(E35&gt;=3, 3, IF(E35&gt;=1, 1, 0))))</f>
        <v>0</v>
      </c>
    </row>
    <row r="44" spans="1:6" ht="30.75" thickBot="1" x14ac:dyDescent="0.3">
      <c r="A44" s="125" t="s">
        <v>1121</v>
      </c>
      <c r="B44" s="702">
        <v>5</v>
      </c>
      <c r="C44" s="26">
        <f>IF(F35&gt;=5, 5, (IF(F35&gt;=3, 3, IF(F35&gt;=1, 1, 0))))</f>
        <v>0</v>
      </c>
    </row>
    <row r="45" spans="1:6" ht="15.75" thickBot="1" x14ac:dyDescent="0.3">
      <c r="A45" s="1077" t="s">
        <v>317</v>
      </c>
      <c r="B45" s="1122"/>
      <c r="C45" s="127">
        <f>SUM(C42:C44)</f>
        <v>0</v>
      </c>
    </row>
  </sheetData>
  <sheetProtection algorithmName="SHA-512" hashValue="RkJA5QJ5obg6YrqDfA/auSkNVA8KhB7NITHa4nIjpNQVhx+82FWimqZAKxp2PvlqilOqUPh+P7VOCnJURcIY4w==" saltValue="ORrnDDCPrb3ZVJcdmDWaqA==" spinCount="100000" sheet="1" objects="1" scenarios="1"/>
  <protectedRanges>
    <protectedRange algorithmName="SHA-512" hashValue="84CAEAsfkVFNGDYsy2+2vLhGv58HLC/kLLMSTKh6vC9OUg187zbPme+DiOBGAOWnOT7jCVcyoJrX2G/+QFcxXQ==" saltValue="OkQ4OH0kDA6WmGAM/qJ4/w==" spinCount="100000" sqref="A15:F34 B38:E38" name="Range1"/>
  </protectedRanges>
  <mergeCells count="7">
    <mergeCell ref="A35:C35"/>
    <mergeCell ref="A45:B45"/>
    <mergeCell ref="A13:F13"/>
    <mergeCell ref="A36:F36"/>
    <mergeCell ref="B37:C37"/>
    <mergeCell ref="B38:C38"/>
    <mergeCell ref="A39:B39"/>
  </mergeCells>
  <phoneticPr fontId="39" type="noConversion"/>
  <dataValidations count="2">
    <dataValidation type="whole" allowBlank="1" showInputMessage="1" showErrorMessage="1" sqref="D15:F34" xr:uid="{DE6591C2-8ECE-471D-823E-362892C76125}">
      <formula1>0</formula1>
      <formula2>100</formula2>
    </dataValidation>
    <dataValidation type="whole" allowBlank="1" showInputMessage="1" showErrorMessage="1" sqref="B38:E38" xr:uid="{A3D156A2-D983-4A4D-AADC-C3F2FFA9FF3C}">
      <formula1>0</formula1>
      <formula2>100000000</formula2>
    </dataValidation>
  </dataValidations>
  <hyperlinks>
    <hyperlink ref="D1:E1" location="'Vendor Information'!A1" display="Back to Vendor Information" xr:uid="{2E70BD75-948F-412B-8170-9C7BCBC3356E}"/>
    <hyperlink ref="D1" location="'Respondent Information'!A1" display="Back to Respondent Information" xr:uid="{AB45EC77-5CC1-498A-9E83-EC586D525E29}"/>
  </hyperlinks>
  <pageMargins left="0.7" right="0.7" top="0.75" bottom="0.75" header="0.3" footer="0.3"/>
  <pageSetup scale="49" fitToHeight="0" orientation="landscape" r:id="rId1"/>
  <headerFooter>
    <oddHeader>&amp;C&amp;"Arial,Bold"&amp;14EXHIBIT A-5-a-V3
SUBMISSION REQUIREMENTS AND EVALUATION RESPONSE TEMPLATE</oddHeader>
    <oddFooter>&amp;C&amp;"Arial,Bold"AHCA ITN 010-22/23, Attachment A, Exhibit A-5-a-V3, Page &amp;P of &amp;N</oddFooter>
  </headerFooter>
  <drawing r:id="rId2"/>
  <tableParts count="1">
    <tablePart r:id="rId3"/>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27050-6267-4449-A2FE-F054CDA7875C}">
  <sheetPr codeName="Sheet7"/>
  <dimension ref="A1:K41"/>
  <sheetViews>
    <sheetView workbookViewId="0">
      <selection activeCell="A18" sqref="A18"/>
    </sheetView>
  </sheetViews>
  <sheetFormatPr defaultRowHeight="15" x14ac:dyDescent="0.25"/>
  <cols>
    <col min="1" max="1" width="38.85546875" bestFit="1" customWidth="1"/>
    <col min="7" max="7" width="35" bestFit="1" customWidth="1"/>
    <col min="8" max="8" width="60.7109375" bestFit="1" customWidth="1"/>
    <col min="9" max="9" width="26.42578125" bestFit="1" customWidth="1"/>
    <col min="10" max="10" width="33.28515625" bestFit="1" customWidth="1"/>
    <col min="11" max="11" width="38.85546875" bestFit="1" customWidth="1"/>
    <col min="14" max="14" width="11.42578125" bestFit="1" customWidth="1"/>
  </cols>
  <sheetData>
    <row r="1" spans="1:11" x14ac:dyDescent="0.25">
      <c r="A1" s="16" t="s">
        <v>1127</v>
      </c>
      <c r="E1" s="16" t="s">
        <v>1128</v>
      </c>
      <c r="G1" t="s">
        <v>1129</v>
      </c>
      <c r="H1" t="s">
        <v>1130</v>
      </c>
      <c r="I1" t="s">
        <v>856</v>
      </c>
      <c r="J1" t="s">
        <v>109</v>
      </c>
      <c r="K1" t="s">
        <v>1131</v>
      </c>
    </row>
    <row r="2" spans="1:11" x14ac:dyDescent="0.25">
      <c r="A2" t="s">
        <v>1129</v>
      </c>
      <c r="B2" s="16" t="s">
        <v>1132</v>
      </c>
      <c r="G2" t="s">
        <v>1133</v>
      </c>
      <c r="H2" t="s">
        <v>1134</v>
      </c>
      <c r="I2" t="s">
        <v>1135</v>
      </c>
      <c r="J2" t="s">
        <v>1136</v>
      </c>
      <c r="K2" t="s">
        <v>1137</v>
      </c>
    </row>
    <row r="3" spans="1:11" x14ac:dyDescent="0.25">
      <c r="A3" t="s">
        <v>1130</v>
      </c>
      <c r="G3" t="s">
        <v>857</v>
      </c>
      <c r="I3" t="s">
        <v>1138</v>
      </c>
      <c r="J3" t="s">
        <v>1139</v>
      </c>
      <c r="K3" t="s">
        <v>1140</v>
      </c>
    </row>
    <row r="4" spans="1:11" x14ac:dyDescent="0.25">
      <c r="A4" t="s">
        <v>856</v>
      </c>
      <c r="G4" t="s">
        <v>1141</v>
      </c>
      <c r="I4" t="s">
        <v>1142</v>
      </c>
      <c r="K4" t="s">
        <v>1143</v>
      </c>
    </row>
    <row r="5" spans="1:11" x14ac:dyDescent="0.25">
      <c r="A5" t="s">
        <v>109</v>
      </c>
      <c r="G5" t="s">
        <v>1144</v>
      </c>
      <c r="I5" t="s">
        <v>1145</v>
      </c>
    </row>
    <row r="6" spans="1:11" x14ac:dyDescent="0.25">
      <c r="A6" t="s">
        <v>1131</v>
      </c>
      <c r="I6" t="s">
        <v>1146</v>
      </c>
    </row>
    <row r="8" spans="1:11" x14ac:dyDescent="0.25">
      <c r="A8" s="16" t="s">
        <v>1147</v>
      </c>
      <c r="B8" s="16" t="s">
        <v>1148</v>
      </c>
      <c r="F8" s="137" t="s">
        <v>1149</v>
      </c>
    </row>
    <row r="9" spans="1:11" x14ac:dyDescent="0.25">
      <c r="A9" t="s">
        <v>1129</v>
      </c>
      <c r="B9" t="s">
        <v>857</v>
      </c>
      <c r="I9" s="16" t="s">
        <v>1150</v>
      </c>
      <c r="J9" s="16"/>
    </row>
    <row r="10" spans="1:11" x14ac:dyDescent="0.25">
      <c r="A10" t="s">
        <v>109</v>
      </c>
      <c r="B10" t="s">
        <v>1139</v>
      </c>
      <c r="I10" t="str" cm="1">
        <f t="array" ref="I10:I13">_xlfn._xlws.FILTER(_xlfn.XLOOKUP($A9,$G$1:$K$1,$G$2:$K$6),_xlfn.XLOOKUP($A9,$G$1:$K$1,$G$2:$K$6)&lt;&gt;"")</f>
        <v>Care Coordination/Case Management</v>
      </c>
    </row>
    <row r="11" spans="1:11" x14ac:dyDescent="0.25">
      <c r="I11" t="str">
        <v>Utilization Management</v>
      </c>
    </row>
    <row r="12" spans="1:11" x14ac:dyDescent="0.25">
      <c r="A12" t="s">
        <v>1151</v>
      </c>
      <c r="I12" t="str">
        <v>Service Authorization</v>
      </c>
    </row>
    <row r="13" spans="1:11" x14ac:dyDescent="0.25">
      <c r="A13" t="s">
        <v>1152</v>
      </c>
      <c r="I13" t="str">
        <v>Participant Direction Option (PDO)</v>
      </c>
    </row>
    <row r="14" spans="1:11" x14ac:dyDescent="0.25">
      <c r="A14" t="s">
        <v>1153</v>
      </c>
    </row>
    <row r="15" spans="1:11" x14ac:dyDescent="0.25">
      <c r="A15" t="s">
        <v>1154</v>
      </c>
    </row>
    <row r="16" spans="1:11" x14ac:dyDescent="0.25">
      <c r="A16" t="s">
        <v>1155</v>
      </c>
      <c r="I16" t="s">
        <v>1156</v>
      </c>
    </row>
    <row r="19" spans="7:7" x14ac:dyDescent="0.25">
      <c r="G19" t="s">
        <v>1157</v>
      </c>
    </row>
    <row r="27" spans="7:7" x14ac:dyDescent="0.25">
      <c r="G27" t="s">
        <v>1133</v>
      </c>
    </row>
    <row r="28" spans="7:7" x14ac:dyDescent="0.25">
      <c r="G28" t="s">
        <v>857</v>
      </c>
    </row>
    <row r="29" spans="7:7" x14ac:dyDescent="0.25">
      <c r="G29" t="s">
        <v>1141</v>
      </c>
    </row>
    <row r="30" spans="7:7" x14ac:dyDescent="0.25">
      <c r="G30" t="s">
        <v>1144</v>
      </c>
    </row>
    <row r="31" spans="7:7" x14ac:dyDescent="0.25">
      <c r="G31" t="s">
        <v>1134</v>
      </c>
    </row>
    <row r="32" spans="7:7" x14ac:dyDescent="0.25">
      <c r="G32" t="s">
        <v>1135</v>
      </c>
    </row>
    <row r="33" spans="7:7" x14ac:dyDescent="0.25">
      <c r="G33" t="s">
        <v>1138</v>
      </c>
    </row>
    <row r="34" spans="7:7" x14ac:dyDescent="0.25">
      <c r="G34" t="s">
        <v>1142</v>
      </c>
    </row>
    <row r="35" spans="7:7" x14ac:dyDescent="0.25">
      <c r="G35" t="s">
        <v>1145</v>
      </c>
    </row>
    <row r="36" spans="7:7" x14ac:dyDescent="0.25">
      <c r="G36" t="s">
        <v>1146</v>
      </c>
    </row>
    <row r="37" spans="7:7" x14ac:dyDescent="0.25">
      <c r="G37" t="s">
        <v>1136</v>
      </c>
    </row>
    <row r="38" spans="7:7" x14ac:dyDescent="0.25">
      <c r="G38" t="s">
        <v>1139</v>
      </c>
    </row>
    <row r="39" spans="7:7" x14ac:dyDescent="0.25">
      <c r="G39" t="s">
        <v>1137</v>
      </c>
    </row>
    <row r="40" spans="7:7" x14ac:dyDescent="0.25">
      <c r="G40" t="s">
        <v>1140</v>
      </c>
    </row>
    <row r="41" spans="7:7" x14ac:dyDescent="0.25">
      <c r="G41" t="s">
        <v>1143</v>
      </c>
    </row>
  </sheetData>
  <dataValidations count="2">
    <dataValidation type="list" allowBlank="1" showInputMessage="1" showErrorMessage="1" sqref="A9:A10" xr:uid="{F7978E63-3F6B-4A54-BE80-9C54E6CFF37C}">
      <formula1>Function</formula1>
    </dataValidation>
    <dataValidation type="list" allowBlank="1" showInputMessage="1" showErrorMessage="1" sqref="B9:B10" xr:uid="{A46C8634-E6F3-44D2-856D-7E32ADDB5775}">
      <formula1>_xlfn.XLOOKUP($A9,$G$1:$K$1,$G$2:$K$6)</formula1>
    </dataValidation>
  </dataValidations>
  <pageMargins left="0.7" right="0.7" top="0.75" bottom="0.75" header="0.3" footer="0.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C3DD2-4378-40EE-B9B1-F75B73F311D6}">
  <sheetPr codeName="Sheet32">
    <tabColor rgb="FFFF0000"/>
  </sheetPr>
  <dimension ref="A1:I2"/>
  <sheetViews>
    <sheetView workbookViewId="0">
      <selection activeCell="P12" sqref="P12"/>
    </sheetView>
  </sheetViews>
  <sheetFormatPr defaultRowHeight="15" x14ac:dyDescent="0.25"/>
  <cols>
    <col min="1" max="1" width="9.140625" customWidth="1"/>
  </cols>
  <sheetData>
    <row r="1" spans="1:9" x14ac:dyDescent="0.25">
      <c r="A1" s="1568" t="s">
        <v>1158</v>
      </c>
      <c r="B1" s="1568"/>
      <c r="C1" s="1568"/>
      <c r="D1" s="1568"/>
      <c r="E1" s="1568"/>
      <c r="F1" s="1568"/>
      <c r="G1" s="1568"/>
      <c r="H1" s="1568"/>
      <c r="I1" s="1568"/>
    </row>
    <row r="2" spans="1:9" x14ac:dyDescent="0.25">
      <c r="A2" s="1568"/>
      <c r="B2" s="1568"/>
      <c r="C2" s="1568"/>
      <c r="D2" s="1568"/>
      <c r="E2" s="1568"/>
      <c r="F2" s="1568"/>
      <c r="G2" s="1568"/>
      <c r="H2" s="1568"/>
      <c r="I2" s="1568"/>
    </row>
  </sheetData>
  <mergeCells count="1">
    <mergeCell ref="A1:I2"/>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Button 1">
              <controlPr defaultSize="0" print="0" autoFill="0" autoPict="0" macro="[0]!back">
                <anchor moveWithCells="1" sizeWithCells="1">
                  <from>
                    <xdr:col>11</xdr:col>
                    <xdr:colOff>9525</xdr:colOff>
                    <xdr:row>0</xdr:row>
                    <xdr:rowOff>19050</xdr:rowOff>
                  </from>
                  <to>
                    <xdr:col>14</xdr:col>
                    <xdr:colOff>9525</xdr:colOff>
                    <xdr:row>2</xdr:row>
                    <xdr:rowOff>28575</xdr:rowOff>
                  </to>
                </anchor>
              </controlPr>
            </control>
          </mc:Choice>
        </mc:AlternateContent>
      </controls>
    </mc:Choice>
  </mc:AlternateConten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C4138-AD75-4B20-9A93-2ABBCCAA083A}">
  <sheetPr codeName="Sheet33">
    <tabColor rgb="FFFF0000"/>
  </sheetPr>
  <dimension ref="A1:J34"/>
  <sheetViews>
    <sheetView workbookViewId="0">
      <selection activeCell="G22" sqref="G22"/>
    </sheetView>
  </sheetViews>
  <sheetFormatPr defaultRowHeight="15" x14ac:dyDescent="0.25"/>
  <cols>
    <col min="1" max="1" width="37" customWidth="1"/>
    <col min="2" max="2" width="19.28515625" bestFit="1" customWidth="1"/>
    <col min="3" max="3" width="15.42578125" bestFit="1" customWidth="1"/>
    <col min="4" max="4" width="13.28515625" bestFit="1" customWidth="1"/>
    <col min="5" max="10" width="12.7109375" customWidth="1"/>
  </cols>
  <sheetData>
    <row r="1" spans="1:10" ht="23.25" x14ac:dyDescent="0.35">
      <c r="A1" s="691" t="s">
        <v>1159</v>
      </c>
    </row>
    <row r="2" spans="1:10" ht="28.5" x14ac:dyDescent="0.45">
      <c r="A2" s="14"/>
    </row>
    <row r="3" spans="1:10" x14ac:dyDescent="0.25">
      <c r="A3" s="692" t="s">
        <v>84</v>
      </c>
      <c r="B3" s="692" t="s">
        <v>85</v>
      </c>
    </row>
    <row r="4" spans="1:10" x14ac:dyDescent="0.25">
      <c r="A4" s="142" t="s">
        <v>1160</v>
      </c>
    </row>
    <row r="5" spans="1:10" x14ac:dyDescent="0.25">
      <c r="A5" s="142" t="s">
        <v>1161</v>
      </c>
      <c r="B5">
        <f t="shared" ref="B5" si="0">D34</f>
        <v>0</v>
      </c>
      <c r="C5" s="111"/>
      <c r="D5" s="111"/>
      <c r="E5" s="111"/>
      <c r="F5" s="110"/>
      <c r="G5" s="111"/>
      <c r="H5" s="110"/>
      <c r="I5" s="110"/>
    </row>
    <row r="6" spans="1:10" ht="15.75" thickBot="1" x14ac:dyDescent="0.3">
      <c r="A6" s="41"/>
      <c r="B6" s="113"/>
      <c r="C6" s="111"/>
      <c r="D6" s="111"/>
      <c r="E6" s="111"/>
      <c r="F6" s="110"/>
      <c r="G6" s="111"/>
      <c r="H6" s="110"/>
      <c r="I6" s="110"/>
    </row>
    <row r="7" spans="1:10" ht="23.25" x14ac:dyDescent="0.35">
      <c r="A7" s="1569"/>
      <c r="B7" s="1571">
        <f>'Respondent Information'!C6</f>
        <v>0</v>
      </c>
      <c r="C7" s="1572"/>
      <c r="D7" s="1573"/>
      <c r="E7" s="1191">
        <f>'Respondent Information'!C9</f>
        <v>0</v>
      </c>
      <c r="F7" s="1187"/>
      <c r="G7" s="1371"/>
      <c r="H7" s="1574">
        <f>'Respondent Information'!C12</f>
        <v>0</v>
      </c>
      <c r="I7" s="1572"/>
      <c r="J7" s="1575"/>
    </row>
    <row r="8" spans="1:10" x14ac:dyDescent="0.25">
      <c r="A8" s="1570"/>
      <c r="B8" s="143">
        <f>'Respondent Information'!I5</f>
        <v>0</v>
      </c>
      <c r="C8" s="143">
        <f>'Respondent Information'!K5</f>
        <v>0</v>
      </c>
      <c r="D8" s="143">
        <f>'Respondent Information'!M5</f>
        <v>0</v>
      </c>
      <c r="E8" s="653">
        <f>'Respondent Information'!I9</f>
        <v>0</v>
      </c>
      <c r="F8" s="652">
        <f>'Respondent Information'!K9</f>
        <v>0</v>
      </c>
      <c r="G8" s="654">
        <f>'Respondent Information'!M9</f>
        <v>0</v>
      </c>
      <c r="H8" s="143">
        <f>'Respondent Information'!I12</f>
        <v>0</v>
      </c>
      <c r="I8" s="143">
        <f>'Respondent Information'!K12</f>
        <v>0</v>
      </c>
      <c r="J8" s="143">
        <f>'Respondent Information'!M12</f>
        <v>0</v>
      </c>
    </row>
    <row r="9" spans="1:10" x14ac:dyDescent="0.25">
      <c r="A9" s="15" t="s">
        <v>1162</v>
      </c>
      <c r="B9" s="28"/>
      <c r="C9" s="28"/>
      <c r="D9" s="28"/>
      <c r="E9" s="29"/>
      <c r="F9" s="30"/>
      <c r="G9" s="31"/>
      <c r="H9" s="28"/>
      <c r="I9" s="28"/>
      <c r="J9" s="28"/>
    </row>
    <row r="10" spans="1:10" x14ac:dyDescent="0.25">
      <c r="A10" s="711" t="s">
        <v>1163</v>
      </c>
      <c r="B10" s="144"/>
      <c r="C10" s="144"/>
      <c r="D10" s="144"/>
      <c r="E10" s="145"/>
      <c r="F10" s="145"/>
      <c r="G10" s="145"/>
      <c r="H10" s="144"/>
      <c r="I10" s="144"/>
      <c r="J10" s="144"/>
    </row>
    <row r="11" spans="1:10" x14ac:dyDescent="0.25">
      <c r="A11" s="15" t="s">
        <v>1162</v>
      </c>
      <c r="B11" s="144"/>
      <c r="C11" s="144"/>
      <c r="D11" s="144"/>
      <c r="E11" s="145"/>
      <c r="F11" s="145"/>
      <c r="G11" s="145"/>
      <c r="H11" s="144"/>
      <c r="I11" s="144"/>
      <c r="J11" s="144"/>
    </row>
    <row r="12" spans="1:10" x14ac:dyDescent="0.25">
      <c r="A12" s="15" t="s">
        <v>1162</v>
      </c>
      <c r="B12" s="144"/>
      <c r="C12" s="144"/>
      <c r="D12" s="144"/>
      <c r="E12" s="145"/>
      <c r="F12" s="145"/>
      <c r="G12" s="145"/>
      <c r="H12" s="144"/>
      <c r="I12" s="144"/>
      <c r="J12" s="144"/>
    </row>
    <row r="16" spans="1:10" ht="21" x14ac:dyDescent="0.35">
      <c r="A16" s="1056" t="s">
        <v>117</v>
      </c>
      <c r="B16" s="1056"/>
    </row>
    <row r="17" spans="1:4" ht="15.75" thickBot="1" x14ac:dyDescent="0.3"/>
    <row r="18" spans="1:4" x14ac:dyDescent="0.25">
      <c r="A18" s="146" t="s">
        <v>18</v>
      </c>
      <c r="B18" s="146" t="s">
        <v>148</v>
      </c>
      <c r="C18" s="147" t="s">
        <v>149</v>
      </c>
      <c r="D18" s="148" t="s">
        <v>34</v>
      </c>
    </row>
    <row r="19" spans="1:4" x14ac:dyDescent="0.25">
      <c r="A19" s="1576">
        <f>B7</f>
        <v>0</v>
      </c>
      <c r="B19" s="116"/>
      <c r="C19" s="702"/>
      <c r="D19" s="117"/>
    </row>
    <row r="20" spans="1:4" x14ac:dyDescent="0.25">
      <c r="A20" s="1577"/>
      <c r="B20" s="116"/>
      <c r="C20" s="702"/>
      <c r="D20" s="26"/>
    </row>
    <row r="21" spans="1:4" x14ac:dyDescent="0.25">
      <c r="A21" s="1577"/>
      <c r="B21" s="116"/>
      <c r="C21" s="702"/>
      <c r="D21" s="26"/>
    </row>
    <row r="22" spans="1:4" x14ac:dyDescent="0.25">
      <c r="A22" s="1577"/>
      <c r="B22" s="116"/>
      <c r="C22" s="702"/>
      <c r="D22" s="26"/>
    </row>
    <row r="23" spans="1:4" ht="15.75" thickBot="1" x14ac:dyDescent="0.3">
      <c r="A23" s="1577"/>
      <c r="B23" s="650" t="s">
        <v>395</v>
      </c>
      <c r="C23" s="651"/>
      <c r="D23" s="81"/>
    </row>
    <row r="24" spans="1:4" x14ac:dyDescent="0.25">
      <c r="A24" s="1576">
        <f>E7</f>
        <v>0</v>
      </c>
      <c r="B24" s="116"/>
      <c r="C24" s="702"/>
      <c r="D24" s="117"/>
    </row>
    <row r="25" spans="1:4" x14ac:dyDescent="0.25">
      <c r="A25" s="1577"/>
      <c r="B25" s="116"/>
      <c r="C25" s="702"/>
      <c r="D25" s="26"/>
    </row>
    <row r="26" spans="1:4" x14ac:dyDescent="0.25">
      <c r="A26" s="1577"/>
      <c r="B26" s="116"/>
      <c r="C26" s="702"/>
      <c r="D26" s="26"/>
    </row>
    <row r="27" spans="1:4" x14ac:dyDescent="0.25">
      <c r="A27" s="1577"/>
      <c r="B27" s="116"/>
      <c r="C27" s="702"/>
      <c r="D27" s="26"/>
    </row>
    <row r="28" spans="1:4" ht="15.75" thickBot="1" x14ac:dyDescent="0.3">
      <c r="A28" s="1577"/>
      <c r="B28" s="650" t="s">
        <v>395</v>
      </c>
      <c r="C28" s="651"/>
      <c r="D28" s="81"/>
    </row>
    <row r="29" spans="1:4" x14ac:dyDescent="0.25">
      <c r="A29" s="1576">
        <f>H7</f>
        <v>0</v>
      </c>
      <c r="B29" s="116"/>
      <c r="C29" s="702"/>
      <c r="D29" s="117"/>
    </row>
    <row r="30" spans="1:4" x14ac:dyDescent="0.25">
      <c r="A30" s="1577"/>
      <c r="B30" s="116"/>
      <c r="C30" s="702"/>
      <c r="D30" s="26"/>
    </row>
    <row r="31" spans="1:4" x14ac:dyDescent="0.25">
      <c r="A31" s="1577"/>
      <c r="B31" s="116"/>
      <c r="C31" s="702"/>
      <c r="D31" s="26"/>
    </row>
    <row r="32" spans="1:4" x14ac:dyDescent="0.25">
      <c r="A32" s="1577"/>
      <c r="B32" s="116"/>
      <c r="C32" s="702"/>
      <c r="D32" s="26"/>
    </row>
    <row r="33" spans="1:4" ht="15.75" thickBot="1" x14ac:dyDescent="0.3">
      <c r="A33" s="1577"/>
      <c r="B33" s="650" t="s">
        <v>395</v>
      </c>
      <c r="C33" s="128"/>
      <c r="D33" s="129"/>
    </row>
    <row r="34" spans="1:4" ht="15.75" thickBot="1" x14ac:dyDescent="0.3">
      <c r="A34" s="1077" t="s">
        <v>317</v>
      </c>
      <c r="B34" s="1078"/>
      <c r="C34" s="1078"/>
      <c r="D34" s="88"/>
    </row>
  </sheetData>
  <mergeCells count="9">
    <mergeCell ref="A34:C34"/>
    <mergeCell ref="A7:A8"/>
    <mergeCell ref="B7:D7"/>
    <mergeCell ref="E7:G7"/>
    <mergeCell ref="H7:J7"/>
    <mergeCell ref="A16:B16"/>
    <mergeCell ref="A19:A23"/>
    <mergeCell ref="A24:A28"/>
    <mergeCell ref="A29:A33"/>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4513" r:id="rId4" name="Button 1">
              <controlPr defaultSize="0" print="0" autoFill="0" autoPict="0" macro="[0]!back">
                <anchor moveWithCells="1" sizeWithCells="1">
                  <from>
                    <xdr:col>2</xdr:col>
                    <xdr:colOff>9525</xdr:colOff>
                    <xdr:row>0</xdr:row>
                    <xdr:rowOff>9525</xdr:rowOff>
                  </from>
                  <to>
                    <xdr:col>4</xdr:col>
                    <xdr:colOff>0</xdr:colOff>
                    <xdr:row>0</xdr:row>
                    <xdr:rowOff>352425</xdr:rowOff>
                  </to>
                </anchor>
              </controlPr>
            </control>
          </mc:Choice>
        </mc:AlternateContent>
      </controls>
    </mc:Choice>
  </mc:AlternateContent>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497DD117D78C498352001A8D6DC62F" ma:contentTypeVersion="1" ma:contentTypeDescription="Create a new document." ma:contentTypeScope="" ma:versionID="5cbde971428fda29a46149fb5df5948e">
  <xsd:schema xmlns:xsd="http://www.w3.org/2001/XMLSchema" xmlns:xs="http://www.w3.org/2001/XMLSchema" xmlns:p="http://schemas.microsoft.com/office/2006/metadata/properties" xmlns:ns2="8ad17182-ceaa-4671-95e5-a77e571fc2b1" xmlns:ns3="12cc71a7-1144-4d8c-a892-49e7cd4e2576" targetNamespace="http://schemas.microsoft.com/office/2006/metadata/properties" ma:root="true" ma:fieldsID="598f36d57777317bf76e41d456522a59" ns2:_="" ns3:_="">
    <xsd:import namespace="8ad17182-ceaa-4671-95e5-a77e571fc2b1"/>
    <xsd:import namespace="12cc71a7-1144-4d8c-a892-49e7cd4e2576"/>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17182-ceaa-4671-95e5-a77e571fc2b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2cc71a7-1144-4d8c-a892-49e7cd4e257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12cc71a7-1144-4d8c-a892-49e7cd4e2576">
      <UserInfo>
        <DisplayName>Erichsen, Kristen</DisplayName>
        <AccountId>23</AccountId>
        <AccountType/>
      </UserInfo>
      <UserInfo>
        <DisplayName>Meng, Yue</DisplayName>
        <AccountId>25</AccountId>
        <AccountType/>
      </UserInfo>
      <UserInfo>
        <DisplayName>Thorn, Amy</DisplayName>
        <AccountId>17</AccountId>
        <AccountType/>
      </UserInfo>
      <UserInfo>
        <DisplayName>Russo, Matt</DisplayName>
        <AccountId>27</AccountId>
        <AccountType/>
      </UserInfo>
      <UserInfo>
        <DisplayName>Cooper, Matthew</DisplayName>
        <AccountId>7</AccountId>
        <AccountType/>
      </UserInfo>
      <UserInfo>
        <DisplayName>Scheffers, Marten</DisplayName>
        <AccountId>15</AccountId>
        <AccountType/>
      </UserInfo>
      <UserInfo>
        <DisplayName>Murthy, Sachin</DisplayName>
        <AccountId>22</AccountId>
        <AccountType/>
      </UserInfo>
    </SharedWithUsers>
  </documentManagement>
</p:properties>
</file>

<file path=customXml/itemProps1.xml><?xml version="1.0" encoding="utf-8"?>
<ds:datastoreItem xmlns:ds="http://schemas.openxmlformats.org/officeDocument/2006/customXml" ds:itemID="{342A51DC-638B-4181-BC6F-C4A2260233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17182-ceaa-4671-95e5-a77e571fc2b1"/>
    <ds:schemaRef ds:uri="12cc71a7-1144-4d8c-a892-49e7cd4e25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5C1DA9-5866-4278-8F17-226DF7A11DEE}">
  <ds:schemaRefs>
    <ds:schemaRef ds:uri="http://schemas.microsoft.com/sharepoint/events"/>
  </ds:schemaRefs>
</ds:datastoreItem>
</file>

<file path=customXml/itemProps3.xml><?xml version="1.0" encoding="utf-8"?>
<ds:datastoreItem xmlns:ds="http://schemas.openxmlformats.org/officeDocument/2006/customXml" ds:itemID="{C73709AD-DBF6-495A-BBD1-AB1C39DA8C9B}">
  <ds:schemaRefs>
    <ds:schemaRef ds:uri="http://schemas.microsoft.com/sharepoint/v3/contenttype/forms"/>
  </ds:schemaRefs>
</ds:datastoreItem>
</file>

<file path=customXml/itemProps4.xml><?xml version="1.0" encoding="utf-8"?>
<ds:datastoreItem xmlns:ds="http://schemas.openxmlformats.org/officeDocument/2006/customXml" ds:itemID="{AF49E018-3175-4BB6-A622-6493AE82A24A}">
  <ds:schemaRefs>
    <ds:schemaRef ds:uri="http://schemas.microsoft.com/office/2006/documentManagement/types"/>
    <ds:schemaRef ds:uri="http://purl.org/dc/dcmitype/"/>
    <ds:schemaRef ds:uri="12cc71a7-1144-4d8c-a892-49e7cd4e2576"/>
    <ds:schemaRef ds:uri="http://purl.org/dc/terms/"/>
    <ds:schemaRef ds:uri="http://schemas.openxmlformats.org/package/2006/metadata/core-properties"/>
    <ds:schemaRef ds:uri="http://www.w3.org/XML/1998/namespace"/>
    <ds:schemaRef ds:uri="http://schemas.microsoft.com/office/infopath/2007/PartnerControls"/>
    <ds:schemaRef ds:uri="8ad17182-ceaa-4671-95e5-a77e571fc2b1"/>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6</vt:i4>
      </vt:variant>
    </vt:vector>
  </HeadingPairs>
  <TitlesOfParts>
    <vt:vector size="59" baseType="lpstr">
      <vt:lpstr>General Instructions</vt:lpstr>
      <vt:lpstr>Plan Selection1</vt:lpstr>
      <vt:lpstr>Respondent Information</vt:lpstr>
      <vt:lpstr>Scoring-Value Based Purchasing</vt:lpstr>
      <vt:lpstr>Value Based Purchasing</vt:lpstr>
      <vt:lpstr>Scoring-Expanded Benefits</vt:lpstr>
      <vt:lpstr>Expanded Benefits</vt:lpstr>
      <vt:lpstr>Scoring-Birth Outcomes</vt:lpstr>
      <vt:lpstr>Birth Outcomes</vt:lpstr>
      <vt:lpstr>Scoring-Chr Disease Management</vt:lpstr>
      <vt:lpstr>Chr Disease Management</vt:lpstr>
      <vt:lpstr>Scoring-HEDIS</vt:lpstr>
      <vt:lpstr>HEDIS</vt:lpstr>
      <vt:lpstr>Scoring-Commitment to Quality</vt:lpstr>
      <vt:lpstr>Commitment to Quality</vt:lpstr>
      <vt:lpstr>Scoring-PersonCentered Care</vt:lpstr>
      <vt:lpstr>Person-Centered Care</vt:lpstr>
      <vt:lpstr>Scoring-Behav Health-Prim Care</vt:lpstr>
      <vt:lpstr>Behav Health-Prim Care Integ</vt:lpstr>
      <vt:lpstr>Scoring-Telemedicine</vt:lpstr>
      <vt:lpstr>Telemedicine</vt:lpstr>
      <vt:lpstr>Scoring-EBP Child Intense Behav</vt:lpstr>
      <vt:lpstr>EBP Child Intense Behav</vt:lpstr>
      <vt:lpstr>Scoring-Essential Providers</vt:lpstr>
      <vt:lpstr>Essential Providers</vt:lpstr>
      <vt:lpstr>Scoring-Community Partnerships</vt:lpstr>
      <vt:lpstr>Community Partnerships</vt:lpstr>
      <vt:lpstr>Scoring-Exp. Benefits-Pathways</vt:lpstr>
      <vt:lpstr>Exp. Benefits-Pathways</vt:lpstr>
      <vt:lpstr>Scoring-Managed Care Exp</vt:lpstr>
      <vt:lpstr>Managed Care Experience</vt:lpstr>
      <vt:lpstr>Scoring-Compliance</vt:lpstr>
      <vt:lpstr>Compliance</vt:lpstr>
      <vt:lpstr>Compliance-Terminations</vt:lpstr>
      <vt:lpstr>Scoring-Florida Presence</vt:lpstr>
      <vt:lpstr>Florida Presence</vt:lpstr>
      <vt:lpstr>Scoring-Accreditation</vt:lpstr>
      <vt:lpstr>Accreditation</vt:lpstr>
      <vt:lpstr>Scoring-Grievances</vt:lpstr>
      <vt:lpstr>Grievances</vt:lpstr>
      <vt:lpstr>Scoring-Processing and Payment</vt:lpstr>
      <vt:lpstr>Processing and Payment</vt:lpstr>
      <vt:lpstr>Scoring-Provider Engagement</vt:lpstr>
      <vt:lpstr>Provider Engagement</vt:lpstr>
      <vt:lpstr>Scoring-NET</vt:lpstr>
      <vt:lpstr>Non-Emergency Transportation</vt:lpstr>
      <vt:lpstr>Scoring-CAHPS</vt:lpstr>
      <vt:lpstr>CAHPS</vt:lpstr>
      <vt:lpstr>Scoring-Mgmt Exp &amp; Retention </vt:lpstr>
      <vt:lpstr>Mgmt Exp &amp; Retention</vt:lpstr>
      <vt:lpstr>subcontractors dropdown</vt:lpstr>
      <vt:lpstr>Instruct-Template</vt:lpstr>
      <vt:lpstr>SRC Template</vt:lpstr>
      <vt:lpstr>Administration</vt:lpstr>
      <vt:lpstr>Coverage</vt:lpstr>
      <vt:lpstr>Function</vt:lpstr>
      <vt:lpstr>Grievance</vt:lpstr>
      <vt:lpstr>Quality</vt:lpstr>
      <vt:lpstr>Services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Erichsen, Kristen</dc:creator>
  <cp:keywords/>
  <dc:description/>
  <cp:lastModifiedBy>Erichsen, Kristen</cp:lastModifiedBy>
  <cp:revision/>
  <cp:lastPrinted>2023-07-13T23:27:20Z</cp:lastPrinted>
  <dcterms:created xsi:type="dcterms:W3CDTF">2022-10-20T15:03:20Z</dcterms:created>
  <dcterms:modified xsi:type="dcterms:W3CDTF">2023-07-19T15:08:17Z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0x010100B3497DD117D78C498352001A8D6DC62F</vt:lpwstr>
  </property>
</Properties>
</file>